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pmiller\Documents\3D Program\Virtual Reality\"/>
    </mc:Choice>
  </mc:AlternateContent>
  <bookViews>
    <workbookView xWindow="0" yWindow="0" windowWidth="23040" windowHeight="10360" activeTab="4"/>
  </bookViews>
  <sheets>
    <sheet name="Preface" sheetId="15" r:id="rId1"/>
    <sheet name="Scenario Notes" sheetId="18" r:id="rId2"/>
    <sheet name="Vaccination" sheetId="1" r:id="rId3"/>
    <sheet name="Depopulation" sheetId="2" r:id="rId4"/>
    <sheet name="Composting" sheetId="3" r:id="rId5"/>
    <sheet name="Rendering" sheetId="4" r:id="rId6"/>
    <sheet name="Off-site Incineration" sheetId="6" r:id="rId7"/>
    <sheet name="On-site Incineration" sheetId="12" r:id="rId8"/>
    <sheet name="Off-site Landfill Burial" sheetId="5" r:id="rId9"/>
    <sheet name="On-site Burial" sheetId="7" r:id="rId10"/>
    <sheet name="Mobile Treatment" sheetId="8" r:id="rId11"/>
    <sheet name="Facility Decon" sheetId="10" r:id="rId12"/>
    <sheet name="Sampling" sheetId="14" r:id="rId13"/>
    <sheet name="GIS_inputs" sheetId="13" r:id="rId14"/>
    <sheet name="Parameter References" sheetId="9" r:id="rId15"/>
    <sheet name="Summary Results" sheetId="16" r:id="rId16"/>
    <sheet name="Charts" sheetId="17" r:id="rId17"/>
  </sheets>
  <calcPr calcId="152511"/>
</workbook>
</file>

<file path=xl/calcChain.xml><?xml version="1.0" encoding="utf-8"?>
<calcChain xmlns="http://schemas.openxmlformats.org/spreadsheetml/2006/main">
  <c r="M55" i="3" l="1"/>
  <c r="M53" i="3"/>
  <c r="F59" i="2" l="1"/>
  <c r="D20" i="14" l="1"/>
  <c r="F20" i="14" s="1"/>
  <c r="E50" i="1"/>
  <c r="F13" i="2"/>
  <c r="F41" i="2" l="1"/>
  <c r="F35" i="5"/>
  <c r="F25" i="7"/>
  <c r="F22" i="6" l="1"/>
  <c r="F36" i="6"/>
  <c r="F23" i="4"/>
  <c r="F38" i="3"/>
  <c r="F37" i="3"/>
  <c r="F36" i="3"/>
  <c r="F25" i="3"/>
  <c r="F26" i="3"/>
  <c r="F53" i="2"/>
  <c r="E42" i="1"/>
  <c r="E28" i="1"/>
  <c r="D31" i="12" l="1"/>
  <c r="F35" i="12"/>
  <c r="F36" i="7"/>
  <c r="F35" i="7"/>
  <c r="F13" i="7" l="1"/>
  <c r="F12" i="7"/>
  <c r="F11" i="7"/>
  <c r="F10" i="7"/>
  <c r="F9" i="7"/>
  <c r="F8" i="7"/>
  <c r="F11" i="10"/>
  <c r="F12" i="10"/>
  <c r="F13" i="10"/>
  <c r="F14" i="10"/>
  <c r="F15" i="10"/>
  <c r="F10" i="10"/>
  <c r="F36" i="10"/>
  <c r="D21" i="5"/>
  <c r="D21" i="12"/>
  <c r="D21" i="6"/>
  <c r="D22" i="4"/>
  <c r="D21" i="3"/>
  <c r="D21" i="7"/>
  <c r="D23" i="10"/>
  <c r="F19" i="10" l="1"/>
  <c r="O29" i="10" l="1"/>
  <c r="F49" i="14"/>
  <c r="C128" i="13"/>
  <c r="C129" i="13"/>
  <c r="K29" i="10" s="1"/>
  <c r="C130" i="13"/>
  <c r="C127" i="13"/>
  <c r="C58" i="13"/>
  <c r="K26" i="10" s="1"/>
  <c r="O26" i="10" s="1"/>
  <c r="K28" i="10" l="1"/>
  <c r="C62" i="14"/>
  <c r="AV182" i="14"/>
  <c r="AV178" i="14"/>
  <c r="C44" i="16" l="1"/>
  <c r="O28" i="10"/>
  <c r="E44" i="16" s="1"/>
  <c r="AV190" i="14"/>
  <c r="F33" i="14"/>
  <c r="F40" i="14"/>
  <c r="F39" i="14"/>
  <c r="F38" i="14"/>
  <c r="F37" i="14"/>
  <c r="F26" i="14"/>
  <c r="F28" i="14" s="1"/>
  <c r="F11" i="14"/>
  <c r="F10" i="14"/>
  <c r="F9" i="14"/>
  <c r="F22" i="14"/>
  <c r="D13" i="14"/>
  <c r="F12" i="14"/>
  <c r="F13" i="14" l="1"/>
  <c r="D19" i="14"/>
  <c r="F19" i="14" s="1"/>
  <c r="C61" i="14"/>
  <c r="C64" i="14" s="1"/>
  <c r="K27" i="14" s="1"/>
  <c r="R27" i="14" s="1"/>
  <c r="F42" i="14"/>
  <c r="F43" i="14"/>
  <c r="F15" i="14"/>
  <c r="F37" i="10"/>
  <c r="F35" i="10"/>
  <c r="S27" i="14" l="1"/>
  <c r="C48" i="16"/>
  <c r="O27" i="14"/>
  <c r="T27" i="14"/>
  <c r="T29" i="10"/>
  <c r="T28" i="10"/>
  <c r="T26" i="10"/>
  <c r="E79" i="7"/>
  <c r="E78" i="7"/>
  <c r="E77" i="7"/>
  <c r="U27" i="14" l="1"/>
  <c r="Y27" i="14" s="1"/>
  <c r="E48" i="16"/>
  <c r="X27" i="14"/>
  <c r="B74" i="7"/>
  <c r="C74" i="7" s="1"/>
  <c r="F47" i="7"/>
  <c r="F46" i="7"/>
  <c r="F45" i="7"/>
  <c r="F44" i="7"/>
  <c r="F34" i="7"/>
  <c r="F33" i="7"/>
  <c r="F32" i="7"/>
  <c r="F23" i="7"/>
  <c r="F22" i="7"/>
  <c r="F21" i="7"/>
  <c r="D15" i="7"/>
  <c r="F15" i="7" s="1"/>
  <c r="F14" i="7"/>
  <c r="D31" i="7" s="1"/>
  <c r="F31" i="7" s="1"/>
  <c r="F39" i="7" l="1"/>
  <c r="G48" i="16"/>
  <c r="Z27" i="14"/>
  <c r="K48" i="16" s="1"/>
  <c r="F27" i="7"/>
  <c r="F49" i="7"/>
  <c r="F40" i="7"/>
  <c r="F50" i="7"/>
  <c r="F17" i="7"/>
  <c r="F30" i="10"/>
  <c r="F29" i="10"/>
  <c r="F28" i="10"/>
  <c r="F27" i="10"/>
  <c r="F23" i="10"/>
  <c r="D17" i="10"/>
  <c r="F17" i="10" s="1"/>
  <c r="F16" i="10"/>
  <c r="C57" i="13"/>
  <c r="C59" i="13"/>
  <c r="B62" i="14" l="1"/>
  <c r="D62" i="14" s="1"/>
  <c r="K25" i="10"/>
  <c r="B61" i="14"/>
  <c r="S28" i="10"/>
  <c r="S31" i="10" s="1"/>
  <c r="S29" i="10"/>
  <c r="S26" i="10"/>
  <c r="S25" i="10"/>
  <c r="R29" i="10"/>
  <c r="R28" i="10"/>
  <c r="R26" i="10"/>
  <c r="R25" i="10"/>
  <c r="X28" i="10"/>
  <c r="K31" i="10"/>
  <c r="K32" i="10"/>
  <c r="X26" i="10"/>
  <c r="F23" i="3"/>
  <c r="C43" i="16" l="1"/>
  <c r="C45" i="16" s="1"/>
  <c r="O25" i="10"/>
  <c r="T25" i="10"/>
  <c r="U25" i="10"/>
  <c r="Y25" i="10" s="1"/>
  <c r="B64" i="14"/>
  <c r="K26" i="14" s="1"/>
  <c r="D61" i="14"/>
  <c r="D64" i="14" s="1"/>
  <c r="U29" i="10"/>
  <c r="Y29" i="10" s="1"/>
  <c r="U28" i="10"/>
  <c r="U26" i="10"/>
  <c r="Y26" i="10" s="1"/>
  <c r="Z26" i="10" s="1"/>
  <c r="R32" i="10"/>
  <c r="R31" i="10"/>
  <c r="O31" i="10"/>
  <c r="K34" i="10"/>
  <c r="T31" i="10"/>
  <c r="T32" i="10"/>
  <c r="S32" i="10"/>
  <c r="S34" i="10" s="1"/>
  <c r="X29" i="10"/>
  <c r="Z29" i="10" s="1"/>
  <c r="O32" i="10"/>
  <c r="X32" i="10" s="1"/>
  <c r="F24" i="3"/>
  <c r="E43" i="16" l="1"/>
  <c r="E45" i="16" s="1"/>
  <c r="X25" i="10"/>
  <c r="Z25" i="10" s="1"/>
  <c r="K29" i="14"/>
  <c r="T26" i="14"/>
  <c r="T29" i="14" s="1"/>
  <c r="O26" i="14"/>
  <c r="S26" i="14"/>
  <c r="S29" i="14" s="1"/>
  <c r="C47" i="16"/>
  <c r="C49" i="16" s="1"/>
  <c r="R26" i="14"/>
  <c r="Y28" i="10"/>
  <c r="Z28" i="10" s="1"/>
  <c r="G44" i="16"/>
  <c r="K44" i="16" s="1"/>
  <c r="G43" i="16"/>
  <c r="T34" i="10"/>
  <c r="U32" i="10"/>
  <c r="Y32" i="10" s="1"/>
  <c r="Z32" i="10" s="1"/>
  <c r="R34" i="10"/>
  <c r="O34" i="10"/>
  <c r="U31" i="10"/>
  <c r="Y31" i="10" s="1"/>
  <c r="X31" i="10"/>
  <c r="X34" i="10" s="1"/>
  <c r="F72" i="5"/>
  <c r="F71" i="5"/>
  <c r="F70" i="5"/>
  <c r="F69" i="5"/>
  <c r="F65" i="5"/>
  <c r="F64" i="5"/>
  <c r="F59" i="5"/>
  <c r="F58" i="5"/>
  <c r="F57" i="5"/>
  <c r="F56" i="5"/>
  <c r="F55" i="5"/>
  <c r="F54" i="5"/>
  <c r="F53" i="5"/>
  <c r="F52" i="5"/>
  <c r="F51" i="5"/>
  <c r="F50" i="5"/>
  <c r="F49" i="5"/>
  <c r="F48" i="5"/>
  <c r="F44" i="5"/>
  <c r="F43" i="5"/>
  <c r="F34" i="5"/>
  <c r="F33" i="5"/>
  <c r="F32" i="5"/>
  <c r="F31" i="5"/>
  <c r="F30" i="5"/>
  <c r="F28" i="5"/>
  <c r="F26" i="5"/>
  <c r="F21" i="5"/>
  <c r="D15" i="5"/>
  <c r="F15" i="5" s="1"/>
  <c r="F14" i="5"/>
  <c r="F29" i="5" s="1"/>
  <c r="F13" i="5"/>
  <c r="F12" i="5"/>
  <c r="F11" i="5"/>
  <c r="F10" i="5"/>
  <c r="F9" i="5"/>
  <c r="F8" i="5"/>
  <c r="R29" i="14" l="1"/>
  <c r="U26" i="14"/>
  <c r="F39" i="5"/>
  <c r="F38" i="5"/>
  <c r="O29" i="14"/>
  <c r="E47" i="16"/>
  <c r="E49" i="16" s="1"/>
  <c r="X26" i="14"/>
  <c r="Y34" i="10"/>
  <c r="U34" i="10"/>
  <c r="K43" i="16"/>
  <c r="K45" i="16" s="1"/>
  <c r="G45" i="16"/>
  <c r="Z31" i="10"/>
  <c r="Z34" i="10" s="1"/>
  <c r="F27" i="5"/>
  <c r="F17" i="5"/>
  <c r="X29" i="14" l="1"/>
  <c r="Y26" i="14"/>
  <c r="Y29" i="14" s="1"/>
  <c r="G47" i="16"/>
  <c r="G49" i="16" s="1"/>
  <c r="U29" i="14"/>
  <c r="F58" i="12"/>
  <c r="F57" i="12"/>
  <c r="F56" i="12"/>
  <c r="F55" i="12"/>
  <c r="F51" i="12"/>
  <c r="F50" i="12"/>
  <c r="F44" i="12"/>
  <c r="F43" i="12"/>
  <c r="D34" i="12"/>
  <c r="F34" i="12" s="1"/>
  <c r="D33" i="12"/>
  <c r="F33" i="12" s="1"/>
  <c r="D32" i="12"/>
  <c r="F32" i="12" s="1"/>
  <c r="F38" i="12" s="1"/>
  <c r="F31" i="12"/>
  <c r="F30" i="12"/>
  <c r="F28" i="12"/>
  <c r="F26" i="12"/>
  <c r="F21" i="12"/>
  <c r="D15" i="12"/>
  <c r="F15" i="12" s="1"/>
  <c r="F14" i="12"/>
  <c r="F13" i="12"/>
  <c r="F12" i="12"/>
  <c r="F11" i="12"/>
  <c r="F10" i="12"/>
  <c r="F9" i="12"/>
  <c r="F8" i="12"/>
  <c r="F75" i="6"/>
  <c r="F74" i="6"/>
  <c r="F73" i="6"/>
  <c r="F72" i="6"/>
  <c r="F71" i="6"/>
  <c r="F70" i="6"/>
  <c r="F69" i="6"/>
  <c r="F65" i="6"/>
  <c r="F64" i="6"/>
  <c r="F59" i="6"/>
  <c r="F58" i="6"/>
  <c r="F57" i="6"/>
  <c r="F56" i="6"/>
  <c r="F55" i="6"/>
  <c r="F54" i="6"/>
  <c r="F53" i="6"/>
  <c r="F52" i="6"/>
  <c r="F51" i="6"/>
  <c r="F50" i="6"/>
  <c r="F49" i="6"/>
  <c r="F48" i="6"/>
  <c r="F44" i="6"/>
  <c r="F43" i="6"/>
  <c r="F35" i="6"/>
  <c r="F34" i="6"/>
  <c r="F33" i="6"/>
  <c r="F32" i="6"/>
  <c r="F31" i="6"/>
  <c r="F39" i="6" s="1"/>
  <c r="F30" i="6"/>
  <c r="F28" i="6"/>
  <c r="F26" i="6"/>
  <c r="F21" i="6"/>
  <c r="D15" i="6"/>
  <c r="F15" i="6" s="1"/>
  <c r="F14" i="6"/>
  <c r="F29" i="6" s="1"/>
  <c r="F13" i="6"/>
  <c r="F12" i="6"/>
  <c r="F11" i="6"/>
  <c r="F10" i="6"/>
  <c r="F9" i="6"/>
  <c r="F8" i="6"/>
  <c r="Z26" i="14" l="1"/>
  <c r="F38" i="6"/>
  <c r="F27" i="6"/>
  <c r="F27" i="12"/>
  <c r="F29" i="12"/>
  <c r="F39" i="12"/>
  <c r="F17" i="6"/>
  <c r="F17" i="12"/>
  <c r="Z29" i="14" l="1"/>
  <c r="K47" i="16"/>
  <c r="K49" i="16" s="1"/>
  <c r="F48" i="3"/>
  <c r="F47" i="3"/>
  <c r="F46" i="3"/>
  <c r="F45" i="3"/>
  <c r="D34" i="3"/>
  <c r="F34" i="3" s="1"/>
  <c r="D33" i="3"/>
  <c r="F33" i="3" s="1"/>
  <c r="F35" i="3"/>
  <c r="F51" i="3" l="1"/>
  <c r="F40" i="3"/>
  <c r="F50" i="3"/>
  <c r="F14" i="3"/>
  <c r="D32" i="3" s="1"/>
  <c r="F32" i="3" s="1"/>
  <c r="F41" i="3" s="1"/>
  <c r="F13" i="3"/>
  <c r="F12" i="3"/>
  <c r="F11" i="3"/>
  <c r="F10" i="3"/>
  <c r="F9" i="3"/>
  <c r="F8" i="3"/>
  <c r="F21" i="3"/>
  <c r="D15" i="3"/>
  <c r="F15" i="3" s="1"/>
  <c r="F17" i="3" l="1"/>
  <c r="F51" i="4" l="1"/>
  <c r="F50" i="4"/>
  <c r="F54" i="4"/>
  <c r="F53" i="4"/>
  <c r="F60" i="4"/>
  <c r="F59" i="4"/>
  <c r="F57" i="4"/>
  <c r="F56" i="4"/>
  <c r="F72" i="4" l="1"/>
  <c r="F32" i="4"/>
  <c r="F36" i="4"/>
  <c r="F35" i="4"/>
  <c r="F31" i="4"/>
  <c r="F65" i="4"/>
  <c r="F66" i="4"/>
  <c r="F40" i="4" l="1"/>
  <c r="D14" i="2"/>
  <c r="F14" i="2" s="1"/>
  <c r="D20" i="2" l="1"/>
  <c r="F20" i="2" s="1"/>
  <c r="F21" i="2" s="1"/>
  <c r="D13" i="1"/>
  <c r="E13" i="1" s="1"/>
  <c r="C166" i="13"/>
  <c r="C165" i="13"/>
  <c r="C164" i="13"/>
  <c r="C163" i="13"/>
  <c r="C160" i="13"/>
  <c r="C153" i="13"/>
  <c r="C146" i="13"/>
  <c r="C139" i="13"/>
  <c r="C122" i="13"/>
  <c r="C123" i="13"/>
  <c r="C124" i="13"/>
  <c r="C121" i="13"/>
  <c r="C111" i="13"/>
  <c r="C97" i="13"/>
  <c r="C83" i="13"/>
  <c r="C69" i="13"/>
  <c r="C56" i="13"/>
  <c r="C51" i="13"/>
  <c r="C52" i="13"/>
  <c r="C53" i="13"/>
  <c r="C50" i="13"/>
  <c r="C40" i="13"/>
  <c r="C26" i="13"/>
  <c r="C12" i="13"/>
  <c r="J33" i="1" l="1"/>
  <c r="C69" i="16"/>
  <c r="D69" i="16" s="1"/>
  <c r="J35" i="1"/>
  <c r="C71" i="16"/>
  <c r="D71" i="16" s="1"/>
  <c r="J36" i="1"/>
  <c r="C72" i="16"/>
  <c r="D72" i="16" s="1"/>
  <c r="J34" i="1"/>
  <c r="C70" i="16"/>
  <c r="D70" i="16" s="1"/>
  <c r="C66" i="16"/>
  <c r="D66" i="16" s="1"/>
  <c r="R57" i="7"/>
  <c r="Q56" i="12"/>
  <c r="M32" i="5"/>
  <c r="T30" i="12"/>
  <c r="K30" i="12"/>
  <c r="C60" i="16"/>
  <c r="Q51" i="12"/>
  <c r="Q61" i="12" s="1"/>
  <c r="R52" i="7"/>
  <c r="K26" i="7" s="1"/>
  <c r="M27" i="5"/>
  <c r="T25" i="12"/>
  <c r="K25" i="12"/>
  <c r="C64" i="16"/>
  <c r="D64" i="16" s="1"/>
  <c r="R55" i="7"/>
  <c r="Q54" i="12"/>
  <c r="M30" i="5"/>
  <c r="T28" i="12"/>
  <c r="K28" i="12"/>
  <c r="J24" i="1"/>
  <c r="C58" i="16"/>
  <c r="Q49" i="12"/>
  <c r="R50" i="7"/>
  <c r="M25" i="5"/>
  <c r="T23" i="12"/>
  <c r="K23" i="12"/>
  <c r="K24" i="7"/>
  <c r="O24" i="7" s="1"/>
  <c r="X24" i="7" s="1"/>
  <c r="J28" i="1"/>
  <c r="C63" i="16"/>
  <c r="D63" i="16" s="1"/>
  <c r="R54" i="7"/>
  <c r="Q53" i="12"/>
  <c r="M29" i="5"/>
  <c r="T27" i="12"/>
  <c r="K27" i="12"/>
  <c r="C57" i="16"/>
  <c r="K24" i="2"/>
  <c r="R24" i="2" s="1"/>
  <c r="Q48" i="12"/>
  <c r="R49" i="7"/>
  <c r="K23" i="7" s="1"/>
  <c r="M24" i="5"/>
  <c r="L22" i="12"/>
  <c r="T22" i="12"/>
  <c r="K22" i="12"/>
  <c r="C65" i="16"/>
  <c r="D65" i="16" s="1"/>
  <c r="Q55" i="12"/>
  <c r="R56" i="7"/>
  <c r="M31" i="5"/>
  <c r="T29" i="12"/>
  <c r="K29" i="12"/>
  <c r="C59" i="16"/>
  <c r="Q50" i="12"/>
  <c r="R51" i="7"/>
  <c r="M26" i="5"/>
  <c r="T24" i="12"/>
  <c r="K24" i="12"/>
  <c r="K58" i="3"/>
  <c r="J29" i="1"/>
  <c r="J39" i="1" s="1"/>
  <c r="K57" i="3"/>
  <c r="J25" i="1"/>
  <c r="J31" i="1"/>
  <c r="K59" i="3"/>
  <c r="C8" i="16"/>
  <c r="K26" i="4"/>
  <c r="K25" i="6"/>
  <c r="AE24" i="5"/>
  <c r="I31" i="16" s="1"/>
  <c r="K24" i="5"/>
  <c r="L24" i="5"/>
  <c r="AE26" i="4"/>
  <c r="I19" i="16" s="1"/>
  <c r="AE25" i="6"/>
  <c r="I23" i="16" s="1"/>
  <c r="N24" i="5"/>
  <c r="K51" i="3"/>
  <c r="M25" i="6"/>
  <c r="L25" i="6"/>
  <c r="L26" i="4"/>
  <c r="M26" i="4"/>
  <c r="AE33" i="4"/>
  <c r="AE32" i="6"/>
  <c r="N31" i="5"/>
  <c r="K33" i="4"/>
  <c r="AE31" i="5"/>
  <c r="K31" i="5"/>
  <c r="L31" i="5"/>
  <c r="K32" i="6"/>
  <c r="L32" i="6"/>
  <c r="M32" i="6"/>
  <c r="L29" i="12"/>
  <c r="V29" i="12" s="1"/>
  <c r="L33" i="4"/>
  <c r="M33" i="4"/>
  <c r="K31" i="2"/>
  <c r="R31" i="2" s="1"/>
  <c r="AE29" i="4"/>
  <c r="AE28" i="6"/>
  <c r="K27" i="5"/>
  <c r="N27" i="5"/>
  <c r="K29" i="4"/>
  <c r="K28" i="6"/>
  <c r="L27" i="5"/>
  <c r="AE27" i="5"/>
  <c r="K54" i="3"/>
  <c r="M28" i="6"/>
  <c r="L28" i="6"/>
  <c r="L25" i="12"/>
  <c r="V25" i="12" s="1"/>
  <c r="L29" i="4"/>
  <c r="M29" i="4"/>
  <c r="K27" i="2"/>
  <c r="R27" i="2" s="1"/>
  <c r="AE31" i="6"/>
  <c r="N30" i="5"/>
  <c r="K32" i="4"/>
  <c r="AE30" i="5"/>
  <c r="K30" i="5"/>
  <c r="L30" i="5"/>
  <c r="K31" i="6"/>
  <c r="AE32" i="4"/>
  <c r="W30" i="5"/>
  <c r="L31" i="6"/>
  <c r="M31" i="6"/>
  <c r="L28" i="12"/>
  <c r="V28" i="12" s="1"/>
  <c r="L32" i="4"/>
  <c r="M32" i="4"/>
  <c r="K30" i="2"/>
  <c r="R30" i="2" s="1"/>
  <c r="J23" i="1"/>
  <c r="AE28" i="4"/>
  <c r="AE27" i="6"/>
  <c r="K26" i="5"/>
  <c r="N26" i="5"/>
  <c r="K28" i="4"/>
  <c r="K27" i="6"/>
  <c r="AE26" i="5"/>
  <c r="L26" i="5"/>
  <c r="K53" i="3"/>
  <c r="M27" i="6"/>
  <c r="L27" i="6"/>
  <c r="L24" i="12"/>
  <c r="V24" i="12" s="1"/>
  <c r="L28" i="4"/>
  <c r="M28" i="4"/>
  <c r="K26" i="2"/>
  <c r="R26" i="2" s="1"/>
  <c r="K31" i="4"/>
  <c r="AE29" i="5"/>
  <c r="I32" i="16" s="1"/>
  <c r="K29" i="5"/>
  <c r="L29" i="5"/>
  <c r="K30" i="6"/>
  <c r="AE31" i="4"/>
  <c r="I20" i="16" s="1"/>
  <c r="K20" i="16" s="1"/>
  <c r="AE30" i="6"/>
  <c r="I24" i="16" s="1"/>
  <c r="K24" i="16" s="1"/>
  <c r="N29" i="5"/>
  <c r="K56" i="3"/>
  <c r="M30" i="6"/>
  <c r="L30" i="6"/>
  <c r="L27" i="12"/>
  <c r="L31" i="4"/>
  <c r="M31" i="4"/>
  <c r="K29" i="2"/>
  <c r="AE26" i="6"/>
  <c r="N25" i="5"/>
  <c r="K27" i="4"/>
  <c r="K26" i="6"/>
  <c r="AE25" i="5"/>
  <c r="L25" i="5"/>
  <c r="AE27" i="4"/>
  <c r="K25" i="5"/>
  <c r="K52" i="3"/>
  <c r="M26" i="6"/>
  <c r="L26" i="6"/>
  <c r="L23" i="12"/>
  <c r="L27" i="4"/>
  <c r="M27" i="4"/>
  <c r="K25" i="2"/>
  <c r="R25" i="2" s="1"/>
  <c r="K33" i="6"/>
  <c r="AE34" i="4"/>
  <c r="AE33" i="6"/>
  <c r="N32" i="5"/>
  <c r="K34" i="4"/>
  <c r="L32" i="5"/>
  <c r="AE32" i="5"/>
  <c r="K32" i="5"/>
  <c r="L33" i="6"/>
  <c r="M33" i="6"/>
  <c r="L30" i="12"/>
  <c r="V30" i="12" s="1"/>
  <c r="L34" i="4"/>
  <c r="M34" i="4"/>
  <c r="K32" i="2"/>
  <c r="R32" i="2" s="1"/>
  <c r="J26" i="1"/>
  <c r="J30" i="1"/>
  <c r="C167" i="13"/>
  <c r="C73" i="16" s="1"/>
  <c r="C125" i="13"/>
  <c r="C67" i="16" s="1"/>
  <c r="C54" i="13"/>
  <c r="K25" i="7" s="1"/>
  <c r="F52" i="4"/>
  <c r="F55" i="4"/>
  <c r="F58" i="4"/>
  <c r="F49" i="4"/>
  <c r="F45" i="4"/>
  <c r="F44" i="4"/>
  <c r="F15" i="4"/>
  <c r="K23" i="16" l="1"/>
  <c r="I25" i="16"/>
  <c r="I33" i="16"/>
  <c r="K19" i="16"/>
  <c r="I21" i="16"/>
  <c r="D73" i="16"/>
  <c r="Q60" i="12"/>
  <c r="R26" i="7"/>
  <c r="O26" i="7"/>
  <c r="X26" i="7" s="1"/>
  <c r="C78" i="16"/>
  <c r="D60" i="16"/>
  <c r="D78" i="16" s="1"/>
  <c r="D67" i="16"/>
  <c r="Q59" i="12"/>
  <c r="R24" i="7"/>
  <c r="K39" i="12"/>
  <c r="C76" i="16"/>
  <c r="D58" i="16"/>
  <c r="D76" i="16" s="1"/>
  <c r="Q58" i="12"/>
  <c r="K40" i="12"/>
  <c r="V22" i="12"/>
  <c r="S22" i="12"/>
  <c r="P22" i="12"/>
  <c r="D57" i="16"/>
  <c r="D75" i="16" s="1"/>
  <c r="C75" i="16"/>
  <c r="D59" i="16"/>
  <c r="C77" i="16"/>
  <c r="C61" i="16"/>
  <c r="C79" i="16" s="1"/>
  <c r="V35" i="12"/>
  <c r="W25" i="6"/>
  <c r="W31" i="5"/>
  <c r="C35" i="16"/>
  <c r="N37" i="5"/>
  <c r="L39" i="12"/>
  <c r="V23" i="12"/>
  <c r="V33" i="12" s="1"/>
  <c r="L40" i="12"/>
  <c r="C28" i="16" s="1"/>
  <c r="V27" i="12"/>
  <c r="V34" i="12"/>
  <c r="J40" i="1"/>
  <c r="S23" i="12"/>
  <c r="P23" i="12"/>
  <c r="S27" i="12"/>
  <c r="P27" i="12"/>
  <c r="S24" i="12"/>
  <c r="P24" i="12"/>
  <c r="S30" i="12"/>
  <c r="P30" i="12"/>
  <c r="AA30" i="12" s="1"/>
  <c r="S28" i="12"/>
  <c r="P28" i="12"/>
  <c r="AA28" i="12" s="1"/>
  <c r="S25" i="12"/>
  <c r="P25" i="12"/>
  <c r="S29" i="12"/>
  <c r="P29" i="12"/>
  <c r="AA29" i="12" s="1"/>
  <c r="J41" i="1"/>
  <c r="L36" i="5"/>
  <c r="O31" i="5"/>
  <c r="K30" i="7"/>
  <c r="R61" i="7"/>
  <c r="W33" i="6"/>
  <c r="W30" i="6"/>
  <c r="O24" i="5"/>
  <c r="K31" i="7"/>
  <c r="R62" i="7"/>
  <c r="R25" i="7"/>
  <c r="O25" i="7"/>
  <c r="X25" i="7" s="1"/>
  <c r="W32" i="5"/>
  <c r="O32" i="5"/>
  <c r="W31" i="6"/>
  <c r="C7" i="16"/>
  <c r="W29" i="5"/>
  <c r="O29" i="5"/>
  <c r="C32" i="16" s="1"/>
  <c r="J38" i="1"/>
  <c r="C6" i="16"/>
  <c r="W27" i="5"/>
  <c r="O27" i="5"/>
  <c r="W32" i="6"/>
  <c r="C11" i="16"/>
  <c r="K29" i="7"/>
  <c r="R60" i="7"/>
  <c r="R23" i="7"/>
  <c r="O23" i="7"/>
  <c r="O25" i="5"/>
  <c r="W26" i="6"/>
  <c r="K34" i="2"/>
  <c r="C12" i="16"/>
  <c r="W26" i="5"/>
  <c r="O26" i="5"/>
  <c r="O30" i="5"/>
  <c r="W28" i="6"/>
  <c r="K28" i="7"/>
  <c r="R59" i="7"/>
  <c r="AE36" i="6"/>
  <c r="L37" i="4"/>
  <c r="Y27" i="5"/>
  <c r="M34" i="5"/>
  <c r="AE35" i="5"/>
  <c r="L38" i="6"/>
  <c r="K37" i="2"/>
  <c r="M37" i="5"/>
  <c r="R29" i="2"/>
  <c r="R34" i="2" s="1"/>
  <c r="AE38" i="4"/>
  <c r="L38" i="4"/>
  <c r="Y25" i="5"/>
  <c r="Y31" i="5"/>
  <c r="AE39" i="4"/>
  <c r="N34" i="5"/>
  <c r="AE36" i="5"/>
  <c r="AE36" i="4"/>
  <c r="Y24" i="5"/>
  <c r="T34" i="12"/>
  <c r="L35" i="5"/>
  <c r="L37" i="6"/>
  <c r="AE37" i="6"/>
  <c r="Y28" i="6"/>
  <c r="S28" i="6"/>
  <c r="V28" i="6"/>
  <c r="AE38" i="6"/>
  <c r="M37" i="6"/>
  <c r="S31" i="5"/>
  <c r="AC31" i="5" s="1"/>
  <c r="K36" i="5"/>
  <c r="V31" i="5"/>
  <c r="N36" i="5"/>
  <c r="W24" i="5"/>
  <c r="AE35" i="6"/>
  <c r="V33" i="6"/>
  <c r="S33" i="6"/>
  <c r="AC33" i="6" s="1"/>
  <c r="Y33" i="6"/>
  <c r="K38" i="6"/>
  <c r="L35" i="12"/>
  <c r="V26" i="5"/>
  <c r="S26" i="5"/>
  <c r="Y30" i="5"/>
  <c r="M38" i="6"/>
  <c r="AE37" i="4"/>
  <c r="M37" i="4"/>
  <c r="L33" i="12"/>
  <c r="K36" i="6"/>
  <c r="Y31" i="6"/>
  <c r="S31" i="6"/>
  <c r="AC31" i="6" s="1"/>
  <c r="V31" i="6"/>
  <c r="AE37" i="5"/>
  <c r="M36" i="5"/>
  <c r="L36" i="4"/>
  <c r="K25" i="3"/>
  <c r="AE34" i="5"/>
  <c r="V32" i="5"/>
  <c r="S32" i="5"/>
  <c r="AC32" i="5" s="1"/>
  <c r="K37" i="5"/>
  <c r="M39" i="4"/>
  <c r="V25" i="5"/>
  <c r="S25" i="5"/>
  <c r="M35" i="6"/>
  <c r="S30" i="6"/>
  <c r="V30" i="6"/>
  <c r="K35" i="6"/>
  <c r="Y30" i="6"/>
  <c r="K35" i="2"/>
  <c r="L36" i="6"/>
  <c r="K26" i="3"/>
  <c r="Y26" i="6"/>
  <c r="V26" i="6"/>
  <c r="S26" i="6"/>
  <c r="K32" i="12"/>
  <c r="Y27" i="6"/>
  <c r="S27" i="6"/>
  <c r="V27" i="6"/>
  <c r="M35" i="5"/>
  <c r="T35" i="12"/>
  <c r="K35" i="12"/>
  <c r="K33" i="3"/>
  <c r="K64" i="3"/>
  <c r="Y32" i="5"/>
  <c r="M36" i="6"/>
  <c r="W25" i="5"/>
  <c r="W35" i="5" s="1"/>
  <c r="M36" i="4"/>
  <c r="L32" i="12"/>
  <c r="K30" i="3"/>
  <c r="K61" i="3"/>
  <c r="V29" i="5"/>
  <c r="S29" i="5"/>
  <c r="K34" i="5"/>
  <c r="K31" i="3"/>
  <c r="K62" i="3"/>
  <c r="K28" i="3"/>
  <c r="L37" i="5"/>
  <c r="K36" i="2"/>
  <c r="K34" i="12"/>
  <c r="K37" i="6"/>
  <c r="Y32" i="6"/>
  <c r="S32" i="6"/>
  <c r="AC32" i="6" s="1"/>
  <c r="V32" i="6"/>
  <c r="L35" i="6"/>
  <c r="L34" i="5"/>
  <c r="S25" i="6"/>
  <c r="Y25" i="6"/>
  <c r="V25" i="6"/>
  <c r="Y29" i="5"/>
  <c r="W27" i="6"/>
  <c r="K27" i="3"/>
  <c r="Y26" i="5"/>
  <c r="T33" i="12"/>
  <c r="K33" i="12"/>
  <c r="K35" i="5"/>
  <c r="S30" i="5"/>
  <c r="AC30" i="5" s="1"/>
  <c r="V30" i="5"/>
  <c r="N35" i="5"/>
  <c r="L39" i="4"/>
  <c r="S27" i="5"/>
  <c r="V27" i="5"/>
  <c r="M38" i="4"/>
  <c r="L34" i="12"/>
  <c r="K32" i="3"/>
  <c r="K63" i="3"/>
  <c r="T32" i="12"/>
  <c r="V24" i="5"/>
  <c r="S24" i="5"/>
  <c r="E31" i="16" s="1"/>
  <c r="F28" i="4"/>
  <c r="F30" i="4"/>
  <c r="R36" i="2"/>
  <c r="R37" i="2"/>
  <c r="R35" i="2"/>
  <c r="F76" i="4"/>
  <c r="F75" i="4"/>
  <c r="F74" i="4"/>
  <c r="F73" i="4"/>
  <c r="D20" i="1"/>
  <c r="F10" i="2"/>
  <c r="F11" i="2"/>
  <c r="F12" i="2"/>
  <c r="F9" i="2"/>
  <c r="Q63" i="12" l="1"/>
  <c r="U29" i="12" s="1"/>
  <c r="C27" i="16"/>
  <c r="C29" i="16" s="1"/>
  <c r="U30" i="12"/>
  <c r="U28" i="12"/>
  <c r="V32" i="12"/>
  <c r="V37" i="12" s="1"/>
  <c r="C9" i="16"/>
  <c r="D77" i="16"/>
  <c r="D61" i="16"/>
  <c r="D79" i="16" s="1"/>
  <c r="W36" i="5"/>
  <c r="W35" i="6"/>
  <c r="C36" i="16"/>
  <c r="C37" i="16" s="1"/>
  <c r="X23" i="7"/>
  <c r="E35" i="16"/>
  <c r="AA27" i="12"/>
  <c r="E28" i="16"/>
  <c r="E27" i="16"/>
  <c r="T37" i="12"/>
  <c r="K37" i="12"/>
  <c r="J43" i="1"/>
  <c r="W38" i="6"/>
  <c r="W36" i="6"/>
  <c r="W37" i="5"/>
  <c r="AE40" i="6"/>
  <c r="O35" i="5"/>
  <c r="W34" i="5"/>
  <c r="R64" i="7"/>
  <c r="R66" i="7" s="1"/>
  <c r="O36" i="5"/>
  <c r="C15" i="16"/>
  <c r="R28" i="7"/>
  <c r="R33" i="7" s="1"/>
  <c r="O28" i="7"/>
  <c r="K33" i="7"/>
  <c r="O37" i="5"/>
  <c r="C16" i="16"/>
  <c r="AC30" i="6"/>
  <c r="E24" i="16"/>
  <c r="O34" i="5"/>
  <c r="C31" i="16"/>
  <c r="C33" i="16" s="1"/>
  <c r="C13" i="16"/>
  <c r="W37" i="6"/>
  <c r="E23" i="16"/>
  <c r="AC29" i="5"/>
  <c r="E32" i="16"/>
  <c r="K34" i="7"/>
  <c r="R29" i="7"/>
  <c r="R34" i="7" s="1"/>
  <c r="O29" i="7"/>
  <c r="K36" i="7"/>
  <c r="R31" i="7"/>
  <c r="R36" i="7" s="1"/>
  <c r="O31" i="7"/>
  <c r="R30" i="7"/>
  <c r="K35" i="7"/>
  <c r="O30" i="7"/>
  <c r="Y37" i="5"/>
  <c r="N39" i="5"/>
  <c r="M39" i="5"/>
  <c r="Y38" i="6"/>
  <c r="Y37" i="6"/>
  <c r="M40" i="6"/>
  <c r="N25" i="6" s="1"/>
  <c r="O25" i="6" s="1"/>
  <c r="AE41" i="4"/>
  <c r="Y35" i="5"/>
  <c r="V36" i="5"/>
  <c r="Y36" i="5"/>
  <c r="S34" i="12"/>
  <c r="V34" i="5"/>
  <c r="Y35" i="6"/>
  <c r="AC25" i="5"/>
  <c r="S35" i="5"/>
  <c r="AC35" i="5" s="1"/>
  <c r="R25" i="3"/>
  <c r="O25" i="3"/>
  <c r="V36" i="6"/>
  <c r="S34" i="5"/>
  <c r="AC24" i="5"/>
  <c r="AA25" i="12"/>
  <c r="P35" i="12"/>
  <c r="AA35" i="12" s="1"/>
  <c r="R27" i="3"/>
  <c r="O27" i="3"/>
  <c r="Y27" i="3" s="1"/>
  <c r="S35" i="6"/>
  <c r="AC25" i="6"/>
  <c r="V37" i="6"/>
  <c r="AC27" i="6"/>
  <c r="S37" i="6"/>
  <c r="AC37" i="6" s="1"/>
  <c r="K40" i="6"/>
  <c r="V37" i="5"/>
  <c r="AC26" i="5"/>
  <c r="S36" i="5"/>
  <c r="AC36" i="5" s="1"/>
  <c r="V38" i="6"/>
  <c r="AC28" i="6"/>
  <c r="S38" i="6"/>
  <c r="AC38" i="6" s="1"/>
  <c r="S37" i="5"/>
  <c r="AC37" i="5" s="1"/>
  <c r="AC27" i="5"/>
  <c r="V35" i="5"/>
  <c r="S33" i="12"/>
  <c r="L39" i="5"/>
  <c r="R31" i="3"/>
  <c r="O31" i="3"/>
  <c r="K36" i="3"/>
  <c r="P34" i="12"/>
  <c r="AA34" i="12" s="1"/>
  <c r="AA24" i="12"/>
  <c r="K39" i="5"/>
  <c r="R30" i="3"/>
  <c r="O30" i="3"/>
  <c r="K35" i="3"/>
  <c r="R33" i="3"/>
  <c r="O33" i="3"/>
  <c r="K38" i="3"/>
  <c r="R26" i="3"/>
  <c r="O26" i="3"/>
  <c r="Y26" i="3" s="1"/>
  <c r="K39" i="2"/>
  <c r="V35" i="6"/>
  <c r="AE39" i="5"/>
  <c r="L41" i="4"/>
  <c r="Y36" i="6"/>
  <c r="R32" i="3"/>
  <c r="O32" i="3"/>
  <c r="K37" i="3"/>
  <c r="S32" i="12"/>
  <c r="AA22" i="12"/>
  <c r="P32" i="12"/>
  <c r="R28" i="3"/>
  <c r="O28" i="3"/>
  <c r="Y28" i="3" s="1"/>
  <c r="K66" i="3"/>
  <c r="K68" i="3" s="1"/>
  <c r="L37" i="12"/>
  <c r="L40" i="6"/>
  <c r="M41" i="4"/>
  <c r="S35" i="12"/>
  <c r="S36" i="6"/>
  <c r="AC36" i="6" s="1"/>
  <c r="AC26" i="6"/>
  <c r="P33" i="12"/>
  <c r="AA33" i="12" s="1"/>
  <c r="AA23" i="12"/>
  <c r="R39" i="2"/>
  <c r="F16" i="2"/>
  <c r="F71" i="4"/>
  <c r="F34" i="4"/>
  <c r="F33" i="4"/>
  <c r="F29" i="4"/>
  <c r="F27" i="4"/>
  <c r="F70" i="4"/>
  <c r="U24" i="12" l="1"/>
  <c r="W24" i="12"/>
  <c r="W30" i="12"/>
  <c r="X30" i="12" s="1"/>
  <c r="AB30" i="12" s="1"/>
  <c r="AC30" i="12" s="1"/>
  <c r="W28" i="12"/>
  <c r="X28" i="12" s="1"/>
  <c r="AB28" i="12" s="1"/>
  <c r="AC28" i="12" s="1"/>
  <c r="W27" i="12"/>
  <c r="U27" i="12"/>
  <c r="U22" i="12"/>
  <c r="W29" i="12"/>
  <c r="U25" i="12"/>
  <c r="W22" i="12"/>
  <c r="W23" i="12"/>
  <c r="W25" i="12"/>
  <c r="W35" i="12" s="1"/>
  <c r="U23" i="12"/>
  <c r="E29" i="16"/>
  <c r="X31" i="6"/>
  <c r="X25" i="6"/>
  <c r="Z25" i="6" s="1"/>
  <c r="X27" i="6"/>
  <c r="Z27" i="6" s="1"/>
  <c r="AD27" i="6" s="1"/>
  <c r="AF27" i="6" s="1"/>
  <c r="X30" i="6"/>
  <c r="X28" i="6"/>
  <c r="Z28" i="6" s="1"/>
  <c r="AD28" i="6" s="1"/>
  <c r="AF28" i="6" s="1"/>
  <c r="X33" i="6"/>
  <c r="X32" i="6"/>
  <c r="X26" i="6"/>
  <c r="Z26" i="6" s="1"/>
  <c r="AD26" i="6" s="1"/>
  <c r="AF26" i="6" s="1"/>
  <c r="X31" i="5"/>
  <c r="X32" i="5"/>
  <c r="X24" i="5"/>
  <c r="X27" i="5"/>
  <c r="Z27" i="5" s="1"/>
  <c r="AD27" i="5" s="1"/>
  <c r="AF27" i="5" s="1"/>
  <c r="X25" i="5"/>
  <c r="Z25" i="5" s="1"/>
  <c r="AD25" i="5" s="1"/>
  <c r="AF25" i="5" s="1"/>
  <c r="X30" i="5"/>
  <c r="X26" i="5"/>
  <c r="Z26" i="5" s="1"/>
  <c r="AD26" i="5" s="1"/>
  <c r="AF26" i="5" s="1"/>
  <c r="X29" i="5"/>
  <c r="F39" i="4"/>
  <c r="E36" i="16"/>
  <c r="E37" i="16" s="1"/>
  <c r="W39" i="5"/>
  <c r="W40" i="6"/>
  <c r="O39" i="5"/>
  <c r="X29" i="7"/>
  <c r="O34" i="7"/>
  <c r="X34" i="7" s="1"/>
  <c r="E33" i="16"/>
  <c r="E16" i="16"/>
  <c r="Y25" i="3"/>
  <c r="E15" i="16"/>
  <c r="R35" i="7"/>
  <c r="O33" i="7"/>
  <c r="X28" i="7"/>
  <c r="E25" i="16"/>
  <c r="X30" i="7"/>
  <c r="O35" i="7"/>
  <c r="X35" i="7" s="1"/>
  <c r="X31" i="7"/>
  <c r="O36" i="7"/>
  <c r="X36" i="7" s="1"/>
  <c r="K38" i="7"/>
  <c r="C17" i="16"/>
  <c r="Y34" i="4"/>
  <c r="Y31" i="4"/>
  <c r="Y29" i="4"/>
  <c r="Y33" i="4"/>
  <c r="Y26" i="4"/>
  <c r="Y27" i="4"/>
  <c r="Y28" i="4"/>
  <c r="Y32" i="4"/>
  <c r="N28" i="6"/>
  <c r="O28" i="6" s="1"/>
  <c r="N26" i="6"/>
  <c r="O26" i="6" s="1"/>
  <c r="N32" i="6"/>
  <c r="O32" i="6" s="1"/>
  <c r="N33" i="6"/>
  <c r="N27" i="6"/>
  <c r="O27" i="6" s="1"/>
  <c r="N31" i="6"/>
  <c r="O31" i="6" s="1"/>
  <c r="N30" i="6"/>
  <c r="N27" i="4"/>
  <c r="O27" i="4" s="1"/>
  <c r="N29" i="4"/>
  <c r="O29" i="4" s="1"/>
  <c r="N28" i="4"/>
  <c r="O28" i="4" s="1"/>
  <c r="N32" i="4"/>
  <c r="O32" i="4" s="1"/>
  <c r="N31" i="4"/>
  <c r="O31" i="4" s="1"/>
  <c r="N33" i="4"/>
  <c r="O33" i="4" s="1"/>
  <c r="N26" i="4"/>
  <c r="O26" i="4" s="1"/>
  <c r="N34" i="4"/>
  <c r="O34" i="4" s="1"/>
  <c r="Y31" i="3"/>
  <c r="O36" i="3"/>
  <c r="Y36" i="3" s="1"/>
  <c r="S40" i="6"/>
  <c r="AC35" i="6"/>
  <c r="AC40" i="6" s="1"/>
  <c r="AC34" i="5"/>
  <c r="S39" i="5"/>
  <c r="V39" i="5"/>
  <c r="AA32" i="12"/>
  <c r="P37" i="12"/>
  <c r="S37" i="12"/>
  <c r="O35" i="3"/>
  <c r="Y30" i="3"/>
  <c r="Y40" i="6"/>
  <c r="Y32" i="3"/>
  <c r="O37" i="3"/>
  <c r="Y37" i="3" s="1"/>
  <c r="V40" i="6"/>
  <c r="O38" i="3"/>
  <c r="Y38" i="3" s="1"/>
  <c r="Y33" i="3"/>
  <c r="K40" i="3"/>
  <c r="W26" i="4"/>
  <c r="W28" i="4"/>
  <c r="K36" i="4"/>
  <c r="W31" i="4"/>
  <c r="K38" i="4"/>
  <c r="W33" i="4"/>
  <c r="W29" i="4"/>
  <c r="W27" i="4"/>
  <c r="K39" i="4"/>
  <c r="W34" i="4"/>
  <c r="K37" i="4"/>
  <c r="W32" i="4"/>
  <c r="O32" i="2"/>
  <c r="O25" i="2"/>
  <c r="Y25" i="2" s="1"/>
  <c r="O31" i="2"/>
  <c r="O26" i="2"/>
  <c r="Y26" i="2" s="1"/>
  <c r="O30" i="2"/>
  <c r="O27" i="2"/>
  <c r="Y27" i="2" s="1"/>
  <c r="O29" i="2"/>
  <c r="O24" i="2"/>
  <c r="F11" i="4"/>
  <c r="F12" i="4"/>
  <c r="F13" i="4"/>
  <c r="F14" i="4"/>
  <c r="F9" i="4"/>
  <c r="F10" i="4"/>
  <c r="W34" i="12" l="1"/>
  <c r="W33" i="12"/>
  <c r="X24" i="12"/>
  <c r="AB24" i="12" s="1"/>
  <c r="AC24" i="12" s="1"/>
  <c r="X27" i="12"/>
  <c r="X22" i="12"/>
  <c r="AB22" i="12" s="1"/>
  <c r="AC22" i="12" s="1"/>
  <c r="X23" i="12"/>
  <c r="AB23" i="12" s="1"/>
  <c r="AC23" i="12" s="1"/>
  <c r="W32" i="12"/>
  <c r="X25" i="12"/>
  <c r="AB25" i="12" s="1"/>
  <c r="AC25" i="12" s="1"/>
  <c r="T26" i="7"/>
  <c r="S26" i="7"/>
  <c r="T24" i="7"/>
  <c r="S24" i="7"/>
  <c r="T23" i="7"/>
  <c r="T25" i="7"/>
  <c r="S25" i="7"/>
  <c r="T29" i="7"/>
  <c r="S28" i="7"/>
  <c r="S31" i="7"/>
  <c r="S30" i="7"/>
  <c r="T28" i="7"/>
  <c r="T31" i="7"/>
  <c r="T36" i="7" s="1"/>
  <c r="T30" i="7"/>
  <c r="T35" i="7" s="1"/>
  <c r="S29" i="7"/>
  <c r="AB27" i="12"/>
  <c r="AC27" i="12" s="1"/>
  <c r="U34" i="12"/>
  <c r="X34" i="12" s="1"/>
  <c r="AB34" i="12" s="1"/>
  <c r="AC34" i="12" s="1"/>
  <c r="X29" i="12"/>
  <c r="AB29" i="12" s="1"/>
  <c r="AC29" i="12" s="1"/>
  <c r="U33" i="12"/>
  <c r="U32" i="12"/>
  <c r="U35" i="12"/>
  <c r="X35" i="12" s="1"/>
  <c r="AB35" i="12" s="1"/>
  <c r="AC35" i="12" s="1"/>
  <c r="S23" i="7"/>
  <c r="W37" i="4"/>
  <c r="O39" i="4"/>
  <c r="E12" i="16"/>
  <c r="Y37" i="4"/>
  <c r="Y24" i="2"/>
  <c r="E11" i="16"/>
  <c r="E17" i="16"/>
  <c r="O36" i="4"/>
  <c r="C19" i="16"/>
  <c r="O38" i="4"/>
  <c r="O37" i="6"/>
  <c r="O36" i="6"/>
  <c r="O38" i="7"/>
  <c r="X33" i="7"/>
  <c r="C23" i="16"/>
  <c r="AD25" i="6"/>
  <c r="AF25" i="6" s="1"/>
  <c r="G23" i="16"/>
  <c r="N35" i="6"/>
  <c r="O30" i="6"/>
  <c r="N38" i="6"/>
  <c r="O33" i="6"/>
  <c r="O38" i="6" s="1"/>
  <c r="C20" i="16"/>
  <c r="O37" i="4"/>
  <c r="Y38" i="4"/>
  <c r="R38" i="7"/>
  <c r="N36" i="6"/>
  <c r="Y36" i="4"/>
  <c r="Y39" i="4"/>
  <c r="N37" i="6"/>
  <c r="N37" i="4"/>
  <c r="N39" i="4"/>
  <c r="T27" i="3"/>
  <c r="U31" i="3"/>
  <c r="T30" i="3"/>
  <c r="T26" i="3"/>
  <c r="T28" i="3"/>
  <c r="U25" i="3"/>
  <c r="T31" i="3"/>
  <c r="U32" i="3"/>
  <c r="T25" i="3"/>
  <c r="T33" i="3"/>
  <c r="T32" i="3"/>
  <c r="U27" i="3"/>
  <c r="U30" i="3"/>
  <c r="U26" i="3"/>
  <c r="U28" i="3"/>
  <c r="U33" i="3"/>
  <c r="Z31" i="6"/>
  <c r="AD31" i="6" s="1"/>
  <c r="AF31" i="6" s="1"/>
  <c r="X36" i="6"/>
  <c r="Z36" i="6" s="1"/>
  <c r="AD36" i="6" s="1"/>
  <c r="AF36" i="6" s="1"/>
  <c r="AA37" i="12"/>
  <c r="Z32" i="6"/>
  <c r="AD32" i="6" s="1"/>
  <c r="AF32" i="6" s="1"/>
  <c r="X37" i="6"/>
  <c r="Z37" i="6" s="1"/>
  <c r="AD37" i="6" s="1"/>
  <c r="AF37" i="6" s="1"/>
  <c r="AC39" i="5"/>
  <c r="X34" i="5"/>
  <c r="Z29" i="5"/>
  <c r="N38" i="4"/>
  <c r="O40" i="3"/>
  <c r="Y35" i="3"/>
  <c r="Y40" i="3" s="1"/>
  <c r="X35" i="5"/>
  <c r="Z35" i="5" s="1"/>
  <c r="AD35" i="5" s="1"/>
  <c r="AF35" i="5" s="1"/>
  <c r="Z30" i="5"/>
  <c r="AD30" i="5" s="1"/>
  <c r="AF30" i="5" s="1"/>
  <c r="Z33" i="6"/>
  <c r="AD33" i="6" s="1"/>
  <c r="AF33" i="6" s="1"/>
  <c r="X38" i="6"/>
  <c r="Z38" i="6" s="1"/>
  <c r="AD38" i="6" s="1"/>
  <c r="AF38" i="6" s="1"/>
  <c r="Z30" i="6"/>
  <c r="X35" i="6"/>
  <c r="Z32" i="5"/>
  <c r="AD32" i="5" s="1"/>
  <c r="AF32" i="5" s="1"/>
  <c r="X37" i="5"/>
  <c r="Z37" i="5" s="1"/>
  <c r="AD37" i="5" s="1"/>
  <c r="AF37" i="5" s="1"/>
  <c r="Z31" i="5"/>
  <c r="AD31" i="5" s="1"/>
  <c r="AF31" i="5" s="1"/>
  <c r="X36" i="5"/>
  <c r="Z36" i="5" s="1"/>
  <c r="AD36" i="5" s="1"/>
  <c r="AF36" i="5" s="1"/>
  <c r="N36" i="4"/>
  <c r="W39" i="4"/>
  <c r="K41" i="4"/>
  <c r="W36" i="4"/>
  <c r="W38" i="4"/>
  <c r="O35" i="2"/>
  <c r="Y35" i="2" s="1"/>
  <c r="Y30" i="2"/>
  <c r="O37" i="2"/>
  <c r="Y37" i="2" s="1"/>
  <c r="Y32" i="2"/>
  <c r="O34" i="2"/>
  <c r="Y29" i="2"/>
  <c r="O36" i="2"/>
  <c r="Y36" i="2" s="1"/>
  <c r="Y31" i="2"/>
  <c r="D16" i="4"/>
  <c r="F16" i="4" s="1"/>
  <c r="F22" i="4"/>
  <c r="X33" i="12" l="1"/>
  <c r="AB33" i="12" s="1"/>
  <c r="AC33" i="12" s="1"/>
  <c r="W37" i="12"/>
  <c r="K27" i="16"/>
  <c r="G27" i="16"/>
  <c r="X27" i="4"/>
  <c r="X33" i="4"/>
  <c r="X31" i="4"/>
  <c r="X32" i="4"/>
  <c r="X34" i="4"/>
  <c r="X28" i="4"/>
  <c r="X29" i="4"/>
  <c r="X26" i="4"/>
  <c r="U30" i="7"/>
  <c r="Y30" i="7" s="1"/>
  <c r="Z30" i="7" s="1"/>
  <c r="U25" i="7"/>
  <c r="Y25" i="7" s="1"/>
  <c r="Z25" i="7" s="1"/>
  <c r="U26" i="7"/>
  <c r="Y26" i="7" s="1"/>
  <c r="Z26" i="7" s="1"/>
  <c r="U23" i="7"/>
  <c r="Y23" i="7" s="1"/>
  <c r="Z23" i="7" s="1"/>
  <c r="U28" i="7"/>
  <c r="Y28" i="7" s="1"/>
  <c r="Z28" i="7" s="1"/>
  <c r="U24" i="7"/>
  <c r="Y24" i="7" s="1"/>
  <c r="Z24" i="7" s="1"/>
  <c r="U29" i="7"/>
  <c r="Y29" i="7" s="1"/>
  <c r="Z29" i="7" s="1"/>
  <c r="T33" i="7"/>
  <c r="U31" i="7"/>
  <c r="Y31" i="7" s="1"/>
  <c r="Z31" i="7" s="1"/>
  <c r="T34" i="7"/>
  <c r="G28" i="16"/>
  <c r="K28" i="16"/>
  <c r="U37" i="12"/>
  <c r="X32" i="12"/>
  <c r="AB32" i="12" s="1"/>
  <c r="S35" i="7"/>
  <c r="U35" i="7" s="1"/>
  <c r="Y35" i="7" s="1"/>
  <c r="Z35" i="7" s="1"/>
  <c r="S33" i="7"/>
  <c r="S36" i="7"/>
  <c r="U36" i="7" s="1"/>
  <c r="Y36" i="7" s="1"/>
  <c r="Z36" i="7" s="1"/>
  <c r="S34" i="7"/>
  <c r="U34" i="7" s="1"/>
  <c r="Y34" i="7" s="1"/>
  <c r="Z34" i="7" s="1"/>
  <c r="O41" i="4"/>
  <c r="AD30" i="6"/>
  <c r="AF30" i="6" s="1"/>
  <c r="G24" i="16"/>
  <c r="X38" i="7"/>
  <c r="AD29" i="5"/>
  <c r="AF29" i="5" s="1"/>
  <c r="G32" i="16"/>
  <c r="K32" i="16" s="1"/>
  <c r="C24" i="16"/>
  <c r="C25" i="16" s="1"/>
  <c r="O35" i="6"/>
  <c r="O40" i="6" s="1"/>
  <c r="C21" i="16"/>
  <c r="E13" i="16"/>
  <c r="N40" i="6"/>
  <c r="Y41" i="4"/>
  <c r="U38" i="3"/>
  <c r="N41" i="4"/>
  <c r="T38" i="3"/>
  <c r="T37" i="3"/>
  <c r="U37" i="3"/>
  <c r="T36" i="3"/>
  <c r="T35" i="3"/>
  <c r="U36" i="3"/>
  <c r="Z35" i="6"/>
  <c r="AD35" i="6" s="1"/>
  <c r="X40" i="6"/>
  <c r="Z40" i="6" s="1"/>
  <c r="X39" i="5"/>
  <c r="U35" i="3"/>
  <c r="W41" i="4"/>
  <c r="F18" i="4"/>
  <c r="S31" i="4"/>
  <c r="S26" i="4"/>
  <c r="S33" i="4"/>
  <c r="AC33" i="4" s="1"/>
  <c r="S28" i="4"/>
  <c r="S32" i="4"/>
  <c r="AC32" i="4" s="1"/>
  <c r="S27" i="4"/>
  <c r="S34" i="4"/>
  <c r="AC34" i="4" s="1"/>
  <c r="S29" i="4"/>
  <c r="V34" i="4"/>
  <c r="V27" i="4"/>
  <c r="V33" i="4"/>
  <c r="V28" i="4"/>
  <c r="V32" i="4"/>
  <c r="V29" i="4"/>
  <c r="V31" i="4"/>
  <c r="V26" i="4"/>
  <c r="O39" i="2"/>
  <c r="Y34" i="2"/>
  <c r="F83" i="2"/>
  <c r="X37" i="12" l="1"/>
  <c r="G29" i="16"/>
  <c r="K29" i="16"/>
  <c r="X37" i="4"/>
  <c r="Z26" i="4"/>
  <c r="AD26" i="4" s="1"/>
  <c r="T38" i="7"/>
  <c r="G35" i="16"/>
  <c r="K35" i="16" s="1"/>
  <c r="U33" i="7"/>
  <c r="Y33" i="7" s="1"/>
  <c r="Z33" i="7" s="1"/>
  <c r="Z38" i="7" s="1"/>
  <c r="G36" i="16"/>
  <c r="K36" i="16" s="1"/>
  <c r="G25" i="16"/>
  <c r="AB37" i="12"/>
  <c r="AC32" i="12"/>
  <c r="AC37" i="12" s="1"/>
  <c r="S38" i="7"/>
  <c r="K25" i="16"/>
  <c r="E19" i="16"/>
  <c r="AC31" i="4"/>
  <c r="E20" i="16"/>
  <c r="X36" i="4"/>
  <c r="U40" i="3"/>
  <c r="T40" i="3"/>
  <c r="AF35" i="6"/>
  <c r="AF40" i="6" s="1"/>
  <c r="AD40" i="6"/>
  <c r="Z27" i="4"/>
  <c r="AD27" i="4" s="1"/>
  <c r="X38" i="4"/>
  <c r="Z28" i="4"/>
  <c r="AD28" i="4" s="1"/>
  <c r="X39" i="4"/>
  <c r="Z29" i="4"/>
  <c r="AD29" i="4" s="1"/>
  <c r="V37" i="4"/>
  <c r="V39" i="4"/>
  <c r="V36" i="4"/>
  <c r="V38" i="4"/>
  <c r="S37" i="4"/>
  <c r="AC37" i="4" s="1"/>
  <c r="AC27" i="4"/>
  <c r="S36" i="4"/>
  <c r="AC26" i="4"/>
  <c r="S39" i="4"/>
  <c r="AC39" i="4" s="1"/>
  <c r="AC29" i="4"/>
  <c r="S38" i="4"/>
  <c r="AC38" i="4" s="1"/>
  <c r="AC28" i="4"/>
  <c r="Z31" i="4"/>
  <c r="Z33" i="4"/>
  <c r="AD33" i="4" s="1"/>
  <c r="AF33" i="4" s="1"/>
  <c r="Z32" i="4"/>
  <c r="AD32" i="4" s="1"/>
  <c r="AF32" i="4" s="1"/>
  <c r="Z34" i="4"/>
  <c r="AD34" i="4" s="1"/>
  <c r="AF34" i="4" s="1"/>
  <c r="Y39" i="2"/>
  <c r="F38" i="2"/>
  <c r="F70" i="2"/>
  <c r="F33" i="2"/>
  <c r="F32" i="2"/>
  <c r="F28" i="2"/>
  <c r="F63" i="2"/>
  <c r="Z37" i="4" l="1"/>
  <c r="AD37" i="4" s="1"/>
  <c r="AF37" i="4" s="1"/>
  <c r="U38" i="7"/>
  <c r="Y38" i="7"/>
  <c r="G37" i="16"/>
  <c r="K37" i="16" s="1"/>
  <c r="AD31" i="4"/>
  <c r="AF31" i="4" s="1"/>
  <c r="G20" i="16"/>
  <c r="AF26" i="4"/>
  <c r="E21" i="16"/>
  <c r="G19" i="16"/>
  <c r="AF28" i="4"/>
  <c r="AF29" i="4"/>
  <c r="AF27" i="4"/>
  <c r="X41" i="4"/>
  <c r="Z39" i="4"/>
  <c r="AD39" i="4" s="1"/>
  <c r="AF39" i="4" s="1"/>
  <c r="Z38" i="4"/>
  <c r="AD38" i="4" s="1"/>
  <c r="AF38" i="4" s="1"/>
  <c r="S41" i="4"/>
  <c r="AC36" i="4"/>
  <c r="Z36" i="4"/>
  <c r="AD36" i="4" s="1"/>
  <c r="V41" i="4"/>
  <c r="F22" i="3"/>
  <c r="F28" i="3" s="1"/>
  <c r="F71" i="2"/>
  <c r="K21" i="16" l="1"/>
  <c r="G21" i="16"/>
  <c r="S30" i="3"/>
  <c r="S25" i="3"/>
  <c r="S28" i="3"/>
  <c r="S32" i="3"/>
  <c r="S33" i="3"/>
  <c r="S26" i="3"/>
  <c r="V26" i="3" s="1"/>
  <c r="Z26" i="3" s="1"/>
  <c r="AA26" i="3" s="1"/>
  <c r="S31" i="3"/>
  <c r="S27" i="3"/>
  <c r="V27" i="3" s="1"/>
  <c r="Z27" i="3" s="1"/>
  <c r="AA27" i="3" s="1"/>
  <c r="AC41" i="4"/>
  <c r="AF36" i="4"/>
  <c r="AF41" i="4" s="1"/>
  <c r="Z41" i="4"/>
  <c r="Z24" i="5"/>
  <c r="Y34" i="5"/>
  <c r="V25" i="3"/>
  <c r="V28" i="3"/>
  <c r="Z28" i="3" s="1"/>
  <c r="AA28" i="3" s="1"/>
  <c r="AD41" i="4"/>
  <c r="F60" i="2"/>
  <c r="F72" i="2"/>
  <c r="F64" i="2"/>
  <c r="F34" i="2"/>
  <c r="S36" i="3" l="1"/>
  <c r="Z25" i="3"/>
  <c r="AA25" i="3" s="1"/>
  <c r="G15" i="16"/>
  <c r="AD24" i="5"/>
  <c r="AF24" i="5" s="1"/>
  <c r="G31" i="16"/>
  <c r="K31" i="16" s="1"/>
  <c r="S37" i="3"/>
  <c r="S38" i="3"/>
  <c r="S35" i="3"/>
  <c r="Y39" i="5"/>
  <c r="Z39" i="5" s="1"/>
  <c r="Z34" i="5"/>
  <c r="AD34" i="5" s="1"/>
  <c r="AF34" i="5" s="1"/>
  <c r="R38" i="3"/>
  <c r="V33" i="3"/>
  <c r="Z33" i="3" s="1"/>
  <c r="AA33" i="3" s="1"/>
  <c r="R35" i="3"/>
  <c r="V30" i="3"/>
  <c r="R36" i="3"/>
  <c r="V31" i="3"/>
  <c r="Z31" i="3" s="1"/>
  <c r="AA31" i="3" s="1"/>
  <c r="R37" i="3"/>
  <c r="V32" i="3"/>
  <c r="Z32" i="3" s="1"/>
  <c r="AA32" i="3" s="1"/>
  <c r="F35" i="2"/>
  <c r="F39" i="2"/>
  <c r="F29" i="2"/>
  <c r="F86" i="2"/>
  <c r="F85" i="2"/>
  <c r="F84" i="2"/>
  <c r="V35" i="3" l="1"/>
  <c r="Z35" i="3" s="1"/>
  <c r="AA35" i="3" s="1"/>
  <c r="G33" i="16"/>
  <c r="K33" i="16"/>
  <c r="K15" i="16"/>
  <c r="Z30" i="3"/>
  <c r="AA30" i="3" s="1"/>
  <c r="G16" i="16"/>
  <c r="K16" i="16" s="1"/>
  <c r="V38" i="3"/>
  <c r="Z38" i="3" s="1"/>
  <c r="AA38" i="3" s="1"/>
  <c r="S40" i="3"/>
  <c r="V37" i="3"/>
  <c r="Z37" i="3" s="1"/>
  <c r="AA37" i="3" s="1"/>
  <c r="AD39" i="5"/>
  <c r="AF39" i="5"/>
  <c r="R40" i="3"/>
  <c r="V36" i="3"/>
  <c r="Z36" i="3" s="1"/>
  <c r="AA36" i="3" s="1"/>
  <c r="F88" i="2"/>
  <c r="D41" i="1"/>
  <c r="F50" i="2"/>
  <c r="F51" i="2"/>
  <c r="F52" i="2"/>
  <c r="F48" i="2"/>
  <c r="F49" i="2"/>
  <c r="F45" i="2"/>
  <c r="F46" i="2"/>
  <c r="F47" i="2"/>
  <c r="E37" i="1"/>
  <c r="E38" i="1"/>
  <c r="F55" i="2" l="1"/>
  <c r="K17" i="16"/>
  <c r="G17" i="16"/>
  <c r="V40" i="3"/>
  <c r="AA40" i="3"/>
  <c r="Z40" i="3"/>
  <c r="U31" i="2"/>
  <c r="U26" i="2"/>
  <c r="U30" i="2"/>
  <c r="U27" i="2"/>
  <c r="U29" i="2"/>
  <c r="U24" i="2"/>
  <c r="U32" i="2"/>
  <c r="U25" i="2"/>
  <c r="F56" i="2"/>
  <c r="D24" i="2"/>
  <c r="E41" i="1"/>
  <c r="E52" i="1"/>
  <c r="E53" i="1"/>
  <c r="E51" i="1"/>
  <c r="H67" i="1"/>
  <c r="H68" i="1"/>
  <c r="H69" i="1"/>
  <c r="H70" i="1"/>
  <c r="H71" i="1"/>
  <c r="H72" i="1"/>
  <c r="H73" i="1"/>
  <c r="H74" i="1"/>
  <c r="H75" i="1"/>
  <c r="H76" i="1"/>
  <c r="H77" i="1"/>
  <c r="H78" i="1"/>
  <c r="H79" i="1"/>
  <c r="H66" i="1"/>
  <c r="F82" i="1"/>
  <c r="H81" i="1" s="1"/>
  <c r="F83" i="1"/>
  <c r="H82" i="1" s="1"/>
  <c r="F84" i="1"/>
  <c r="H83" i="1" s="1"/>
  <c r="F81" i="1"/>
  <c r="H80" i="1" s="1"/>
  <c r="U37" i="2" l="1"/>
  <c r="U35" i="2"/>
  <c r="T29" i="2"/>
  <c r="T24" i="2"/>
  <c r="T25" i="2"/>
  <c r="T31" i="2"/>
  <c r="T26" i="2"/>
  <c r="T32" i="2"/>
  <c r="T30" i="2"/>
  <c r="T27" i="2"/>
  <c r="U34" i="2"/>
  <c r="U36" i="2"/>
  <c r="E55" i="1"/>
  <c r="F24" i="2"/>
  <c r="F25" i="2" s="1"/>
  <c r="H85" i="1"/>
  <c r="H86" i="1" s="1"/>
  <c r="T36" i="2" l="1"/>
  <c r="S31" i="2"/>
  <c r="S26" i="2"/>
  <c r="V26" i="2" s="1"/>
  <c r="Z26" i="2" s="1"/>
  <c r="AA26" i="2" s="1"/>
  <c r="S32" i="2"/>
  <c r="S25" i="2"/>
  <c r="V25" i="2" s="1"/>
  <c r="Z25" i="2" s="1"/>
  <c r="AA25" i="2" s="1"/>
  <c r="S29" i="2"/>
  <c r="S24" i="2"/>
  <c r="V24" i="2" s="1"/>
  <c r="S30" i="2"/>
  <c r="S27" i="2"/>
  <c r="V27" i="2" s="1"/>
  <c r="Z27" i="2" s="1"/>
  <c r="AA27" i="2" s="1"/>
  <c r="T35" i="2"/>
  <c r="T37" i="2"/>
  <c r="U39" i="2"/>
  <c r="T34" i="2"/>
  <c r="T33" i="1"/>
  <c r="T28" i="1"/>
  <c r="T23" i="1"/>
  <c r="T36" i="1"/>
  <c r="T31" i="1"/>
  <c r="T24" i="1"/>
  <c r="T35" i="1"/>
  <c r="T30" i="1"/>
  <c r="T25" i="1"/>
  <c r="T34" i="1"/>
  <c r="T29" i="1"/>
  <c r="T26" i="1"/>
  <c r="E36" i="1"/>
  <c r="E45" i="1" s="1"/>
  <c r="E22" i="1"/>
  <c r="E19" i="1"/>
  <c r="E10" i="1"/>
  <c r="E11" i="1"/>
  <c r="E12" i="1"/>
  <c r="E9" i="1"/>
  <c r="E40" i="1"/>
  <c r="E39" i="1"/>
  <c r="E27" i="1"/>
  <c r="E26" i="1"/>
  <c r="E25" i="1"/>
  <c r="E24" i="1"/>
  <c r="E23" i="1"/>
  <c r="E21" i="1"/>
  <c r="E20" i="1"/>
  <c r="E30" i="1" s="1"/>
  <c r="E32" i="1" l="1"/>
  <c r="Z24" i="2"/>
  <c r="AA24" i="2" s="1"/>
  <c r="G11" i="16"/>
  <c r="T39" i="2"/>
  <c r="S35" i="2"/>
  <c r="V35" i="2" s="1"/>
  <c r="Z35" i="2" s="1"/>
  <c r="AA35" i="2" s="1"/>
  <c r="V30" i="2"/>
  <c r="Z30" i="2" s="1"/>
  <c r="AA30" i="2" s="1"/>
  <c r="S37" i="2"/>
  <c r="V37" i="2" s="1"/>
  <c r="Z37" i="2" s="1"/>
  <c r="AA37" i="2" s="1"/>
  <c r="V32" i="2"/>
  <c r="Z32" i="2" s="1"/>
  <c r="AA32" i="2" s="1"/>
  <c r="S34" i="2"/>
  <c r="V29" i="2"/>
  <c r="S36" i="2"/>
  <c r="V36" i="2" s="1"/>
  <c r="Z36" i="2" s="1"/>
  <c r="AA36" i="2" s="1"/>
  <c r="V31" i="2"/>
  <c r="Z31" i="2" s="1"/>
  <c r="AA31" i="2" s="1"/>
  <c r="T41" i="1"/>
  <c r="T40" i="1"/>
  <c r="T39" i="1"/>
  <c r="T38" i="1"/>
  <c r="Q26" i="1"/>
  <c r="Q34" i="1"/>
  <c r="Q35" i="1"/>
  <c r="Q24" i="1"/>
  <c r="Q28" i="1"/>
  <c r="Q30" i="1"/>
  <c r="Q25" i="1"/>
  <c r="Q31" i="1"/>
  <c r="Q33" i="1"/>
  <c r="Q36" i="1"/>
  <c r="Q29" i="1"/>
  <c r="Q23" i="1"/>
  <c r="E15" i="1"/>
  <c r="E44" i="1"/>
  <c r="E31" i="1"/>
  <c r="K11" i="16" l="1"/>
  <c r="Z29" i="2"/>
  <c r="AA29" i="2" s="1"/>
  <c r="G12" i="16"/>
  <c r="K12" i="16" s="1"/>
  <c r="T43" i="1"/>
  <c r="S39" i="2"/>
  <c r="V39" i="2" s="1"/>
  <c r="V34" i="2"/>
  <c r="Z34" i="2" s="1"/>
  <c r="S26" i="1"/>
  <c r="S29" i="1"/>
  <c r="S33" i="1"/>
  <c r="S30" i="1"/>
  <c r="S34" i="1"/>
  <c r="S24" i="1"/>
  <c r="S35" i="1"/>
  <c r="S23" i="1"/>
  <c r="S31" i="1"/>
  <c r="S25" i="1"/>
  <c r="S28" i="1"/>
  <c r="S36" i="1"/>
  <c r="R23" i="1"/>
  <c r="R33" i="1"/>
  <c r="R28" i="1"/>
  <c r="R35" i="1"/>
  <c r="R25" i="1"/>
  <c r="R31" i="1"/>
  <c r="R34" i="1"/>
  <c r="R29" i="1"/>
  <c r="R24" i="1"/>
  <c r="R30" i="1"/>
  <c r="R36" i="1"/>
  <c r="R26" i="1"/>
  <c r="Q40" i="1"/>
  <c r="Q41" i="1"/>
  <c r="Q39" i="1"/>
  <c r="Q38" i="1"/>
  <c r="N29" i="1"/>
  <c r="X29" i="1" s="1"/>
  <c r="N31" i="1"/>
  <c r="X31" i="1" s="1"/>
  <c r="N28" i="1"/>
  <c r="N23" i="1"/>
  <c r="N34" i="1"/>
  <c r="X34" i="1" s="1"/>
  <c r="N26" i="1"/>
  <c r="X26" i="1" s="1"/>
  <c r="N33" i="1"/>
  <c r="N25" i="1"/>
  <c r="X25" i="1" s="1"/>
  <c r="N30" i="1"/>
  <c r="X30" i="1" s="1"/>
  <c r="N24" i="1"/>
  <c r="X24" i="1" s="1"/>
  <c r="N36" i="1"/>
  <c r="X36" i="1" s="1"/>
  <c r="N35" i="1"/>
  <c r="X35" i="1" s="1"/>
  <c r="N39" i="1"/>
  <c r="X39" i="1" s="1"/>
  <c r="N41" i="1"/>
  <c r="X41" i="1" s="1"/>
  <c r="N38" i="1"/>
  <c r="X38" i="1" s="1"/>
  <c r="N40" i="1"/>
  <c r="X40" i="1" s="1"/>
  <c r="N43" i="1"/>
  <c r="U29" i="1" l="1"/>
  <c r="Y29" i="1" s="1"/>
  <c r="Z29" i="1" s="1"/>
  <c r="X33" i="1"/>
  <c r="E8" i="16"/>
  <c r="X28" i="1"/>
  <c r="E7" i="16"/>
  <c r="K13" i="16"/>
  <c r="X23" i="1"/>
  <c r="E6" i="16"/>
  <c r="G13" i="16"/>
  <c r="U31" i="1"/>
  <c r="Y31" i="1" s="1"/>
  <c r="Z31" i="1" s="1"/>
  <c r="U30" i="1"/>
  <c r="Y30" i="1" s="1"/>
  <c r="Z30" i="1" s="1"/>
  <c r="U34" i="1"/>
  <c r="Y34" i="1" s="1"/>
  <c r="Z34" i="1" s="1"/>
  <c r="U24" i="1"/>
  <c r="Y24" i="1" s="1"/>
  <c r="Z24" i="1" s="1"/>
  <c r="U26" i="1"/>
  <c r="Y26" i="1" s="1"/>
  <c r="Z26" i="1" s="1"/>
  <c r="U23" i="1"/>
  <c r="U28" i="1"/>
  <c r="U36" i="1"/>
  <c r="Y36" i="1" s="1"/>
  <c r="Z36" i="1" s="1"/>
  <c r="U35" i="1"/>
  <c r="Y35" i="1" s="1"/>
  <c r="Z35" i="1" s="1"/>
  <c r="U33" i="1"/>
  <c r="U25" i="1"/>
  <c r="Y25" i="1" s="1"/>
  <c r="Z25" i="1" s="1"/>
  <c r="Z39" i="2"/>
  <c r="AA34" i="2"/>
  <c r="AA39" i="2" s="1"/>
  <c r="X43" i="1"/>
  <c r="S39" i="1"/>
  <c r="S40" i="1"/>
  <c r="S38" i="1"/>
  <c r="S41" i="1"/>
  <c r="Q43" i="1"/>
  <c r="R40" i="1"/>
  <c r="R41" i="1"/>
  <c r="R39" i="1"/>
  <c r="R38" i="1"/>
  <c r="Y23" i="1" l="1"/>
  <c r="Z23" i="1" s="1"/>
  <c r="G6" i="16"/>
  <c r="K6" i="16" s="1"/>
  <c r="E9" i="16"/>
  <c r="Y28" i="1"/>
  <c r="Z28" i="1" s="1"/>
  <c r="G7" i="16"/>
  <c r="K7" i="16" s="1"/>
  <c r="Y33" i="1"/>
  <c r="Z33" i="1" s="1"/>
  <c r="G8" i="16"/>
  <c r="K8" i="16" s="1"/>
  <c r="S43" i="1"/>
  <c r="R43" i="1"/>
  <c r="U41" i="1"/>
  <c r="Y41" i="1" s="1"/>
  <c r="Z41" i="1" s="1"/>
  <c r="U40" i="1"/>
  <c r="Y40" i="1" s="1"/>
  <c r="Z40" i="1" s="1"/>
  <c r="U39" i="1"/>
  <c r="Y39" i="1" s="1"/>
  <c r="Z39" i="1" s="1"/>
  <c r="U38" i="1"/>
  <c r="Y38" i="1" s="1"/>
  <c r="K9" i="16" l="1"/>
  <c r="G9" i="16"/>
  <c r="U43" i="1"/>
  <c r="Z38" i="1"/>
  <c r="Z43" i="1" s="1"/>
  <c r="Y43" i="1"/>
</calcChain>
</file>

<file path=xl/comments1.xml><?xml version="1.0" encoding="utf-8"?>
<comments xmlns="http://schemas.openxmlformats.org/spreadsheetml/2006/main">
  <authors>
    <author>mgalli</author>
    <author>Knowlton, Robert G</author>
  </authors>
  <commentList>
    <comment ref="A20" authorId="0" shapeId="0">
      <text>
        <r>
          <rPr>
            <b/>
            <sz val="8"/>
            <color indexed="81"/>
            <rFont val="Tahoma"/>
            <family val="2"/>
          </rPr>
          <t>mgalli:</t>
        </r>
        <r>
          <rPr>
            <sz val="8"/>
            <color indexed="81"/>
            <rFont val="Tahoma"/>
            <family val="2"/>
          </rPr>
          <t xml:space="preserve">
2 PPE suits per worker</t>
        </r>
      </text>
    </comment>
    <comment ref="B21" authorId="0" shapeId="0">
      <text>
        <r>
          <rPr>
            <b/>
            <sz val="8"/>
            <color indexed="81"/>
            <rFont val="Tahoma"/>
            <family val="2"/>
          </rPr>
          <t>mgalli:</t>
        </r>
        <r>
          <rPr>
            <sz val="8"/>
            <color indexed="81"/>
            <rFont val="Tahoma"/>
            <family val="2"/>
          </rPr>
          <t xml:space="preserve">
estimate provided by Hernando Duque, DVM, Ph.D.
Manager, North American Foot-and-Mouth Disease Vaccine Bank</t>
        </r>
      </text>
    </comment>
    <comment ref="A22" authorId="0" shapeId="0">
      <text>
        <r>
          <rPr>
            <b/>
            <sz val="8"/>
            <color indexed="81"/>
            <rFont val="Tahoma"/>
            <family val="2"/>
          </rPr>
          <t>mgalli:
every syringe has a backup</t>
        </r>
      </text>
    </comment>
    <comment ref="B36" authorId="0" shapeId="0">
      <text>
        <r>
          <rPr>
            <b/>
            <sz val="8"/>
            <color indexed="81"/>
            <rFont val="Tahoma"/>
            <family val="2"/>
          </rPr>
          <t>mgalli:</t>
        </r>
        <r>
          <rPr>
            <sz val="8"/>
            <color indexed="81"/>
            <rFont val="Tahoma"/>
            <family val="2"/>
          </rPr>
          <t xml:space="preserve">
can be used for 100 premises
</t>
        </r>
      </text>
    </comment>
    <comment ref="B37" authorId="0" shapeId="0">
      <text>
        <r>
          <rPr>
            <b/>
            <sz val="8"/>
            <color indexed="81"/>
            <rFont val="Tahoma"/>
            <family val="2"/>
          </rPr>
          <t>mgalli:</t>
        </r>
        <r>
          <rPr>
            <sz val="8"/>
            <color indexed="81"/>
            <rFont val="Tahoma"/>
            <family val="2"/>
          </rPr>
          <t xml:space="preserve">
Can be used for 15 premises</t>
        </r>
      </text>
    </comment>
    <comment ref="B38" authorId="0" shapeId="0">
      <text>
        <r>
          <rPr>
            <b/>
            <sz val="8"/>
            <color indexed="81"/>
            <rFont val="Tahoma"/>
            <family val="2"/>
          </rPr>
          <t>mgalli:</t>
        </r>
        <r>
          <rPr>
            <sz val="8"/>
            <color indexed="81"/>
            <rFont val="Tahoma"/>
            <family val="2"/>
          </rPr>
          <t xml:space="preserve">
Can be used for 100 premises</t>
        </r>
      </text>
    </comment>
    <comment ref="B51" authorId="1" shapeId="0">
      <text>
        <r>
          <rPr>
            <b/>
            <sz val="9"/>
            <color indexed="81"/>
            <rFont val="Tahoma"/>
            <family val="2"/>
          </rPr>
          <t>Knowlton, Robert G:</t>
        </r>
        <r>
          <rPr>
            <sz val="9"/>
            <color indexed="81"/>
            <rFont val="Tahoma"/>
            <family val="2"/>
          </rPr>
          <t xml:space="preserve">
Shurflo SRS-600 sprayer
</t>
        </r>
      </text>
    </comment>
  </commentList>
</comments>
</file>

<file path=xl/comments10.xml><?xml version="1.0" encoding="utf-8"?>
<comments xmlns="http://schemas.openxmlformats.org/spreadsheetml/2006/main">
  <authors>
    <author>mgalli</author>
    <author>Knowlton, Robert G</author>
  </authors>
  <commentList>
    <comment ref="A19" authorId="0" shapeId="0">
      <text>
        <r>
          <rPr>
            <b/>
            <sz val="8"/>
            <color indexed="81"/>
            <rFont val="Tahoma"/>
            <family val="2"/>
          </rPr>
          <t>mgalli:</t>
        </r>
        <r>
          <rPr>
            <sz val="8"/>
            <color indexed="81"/>
            <rFont val="Tahoma"/>
            <family val="2"/>
          </rPr>
          <t xml:space="preserve">
2 PPE per crew member</t>
        </r>
      </text>
    </comment>
    <comment ref="A20" authorId="0" shapeId="0">
      <text>
        <r>
          <rPr>
            <b/>
            <sz val="8"/>
            <color rgb="FF000000"/>
            <rFont val="Tahoma"/>
            <family val="2"/>
          </rPr>
          <t>mgalli:</t>
        </r>
        <r>
          <rPr>
            <sz val="8"/>
            <color rgb="FF000000"/>
            <rFont val="Tahoma"/>
            <family val="2"/>
          </rPr>
          <t xml:space="preserve">
1 ton lime for every 15,000 lbs of carcass
Source: Nebraska Dept. of Environmental Quality Disposal of Animal Carcass Guidance</t>
        </r>
      </text>
    </comment>
    <comment ref="B38" authorId="1" shapeId="0">
      <text>
        <r>
          <rPr>
            <b/>
            <sz val="9"/>
            <color indexed="81"/>
            <rFont val="Tahoma"/>
            <family val="2"/>
          </rPr>
          <t>Knowlton, Robert G:</t>
        </r>
        <r>
          <rPr>
            <sz val="9"/>
            <color indexed="81"/>
            <rFont val="Tahoma"/>
            <family val="2"/>
          </rPr>
          <t xml:space="preserve">
Shurflo SRS-600 sprayer
</t>
        </r>
      </text>
    </comment>
  </commentList>
</comments>
</file>

<file path=xl/comments11.xml><?xml version="1.0" encoding="utf-8"?>
<comments xmlns="http://schemas.openxmlformats.org/spreadsheetml/2006/main">
  <authors>
    <author>mgalli</author>
  </authors>
  <commentList>
    <comment ref="A42" authorId="0" shapeId="0">
      <text>
        <r>
          <rPr>
            <b/>
            <sz val="8"/>
            <color indexed="81"/>
            <rFont val="Tahoma"/>
            <family val="2"/>
          </rPr>
          <t>mgalli:</t>
        </r>
        <r>
          <rPr>
            <sz val="8"/>
            <color indexed="81"/>
            <rFont val="Tahoma"/>
            <family val="2"/>
          </rPr>
          <t xml:space="preserve">
1.5 bolts per head to account for mis-shoots </t>
        </r>
      </text>
    </comment>
    <comment ref="A76" authorId="0" shapeId="0">
      <text>
        <r>
          <rPr>
            <b/>
            <sz val="8"/>
            <color indexed="81"/>
            <rFont val="Tahoma"/>
            <family val="2"/>
          </rPr>
          <t>mgalli:
EPA's list of approved disinfectents for FMD 
http://www.aphis.usda.gov/emergency_response/downloads/nahems/Selected%20FAD%20table%20Oct%2008.pdf</t>
        </r>
      </text>
    </comment>
  </commentList>
</comments>
</file>

<file path=xl/comments2.xml><?xml version="1.0" encoding="utf-8"?>
<comments xmlns="http://schemas.openxmlformats.org/spreadsheetml/2006/main">
  <authors>
    <author>mgalli</author>
    <author>Knowlton, Robert G</author>
  </authors>
  <commentList>
    <comment ref="A7" authorId="0" shapeId="0">
      <text>
        <r>
          <rPr>
            <b/>
            <sz val="8"/>
            <color indexed="81"/>
            <rFont val="Tahoma"/>
            <family val="2"/>
          </rPr>
          <t>mgalli:</t>
        </r>
        <r>
          <rPr>
            <sz val="8"/>
            <color indexed="81"/>
            <rFont val="Tahoma"/>
            <family val="2"/>
          </rPr>
          <t xml:space="preserve">
Estimate provided by Dr. Burke Healy, VS</t>
        </r>
      </text>
    </comment>
    <comment ref="D9" authorId="0" shapeId="0">
      <text>
        <r>
          <rPr>
            <b/>
            <sz val="8"/>
            <color indexed="81"/>
            <rFont val="Tahoma"/>
            <family val="2"/>
          </rPr>
          <t>mgalli:</t>
        </r>
        <r>
          <rPr>
            <sz val="8"/>
            <color indexed="81"/>
            <rFont val="Tahoma"/>
            <family val="2"/>
          </rPr>
          <t xml:space="preserve">
Crew of 2 people, for 12 hours</t>
        </r>
      </text>
    </comment>
    <comment ref="A10" authorId="0" shapeId="0">
      <text>
        <r>
          <rPr>
            <b/>
            <sz val="8"/>
            <color indexed="81"/>
            <rFont val="Tahoma"/>
            <family val="2"/>
          </rPr>
          <t>mgalli:</t>
        </r>
        <r>
          <rPr>
            <sz val="8"/>
            <color indexed="81"/>
            <rFont val="Tahoma"/>
            <family val="2"/>
          </rPr>
          <t xml:space="preserve">
One safety officer is assigned to inspect each animal to ensure clinical death (operational guidelines euthanasia)</t>
        </r>
      </text>
    </comment>
    <comment ref="D10" authorId="0" shapeId="0">
      <text>
        <r>
          <rPr>
            <b/>
            <sz val="8"/>
            <color indexed="81"/>
            <rFont val="Tahoma"/>
            <family val="2"/>
          </rPr>
          <t>mgalli:</t>
        </r>
        <r>
          <rPr>
            <sz val="8"/>
            <color indexed="81"/>
            <rFont val="Tahoma"/>
            <family val="2"/>
          </rPr>
          <t xml:space="preserve">
Crew of 2 people, for12 hours</t>
        </r>
      </text>
    </comment>
    <comment ref="D11" authorId="0" shapeId="0">
      <text>
        <r>
          <rPr>
            <b/>
            <sz val="8"/>
            <color indexed="81"/>
            <rFont val="Tahoma"/>
            <family val="2"/>
          </rPr>
          <t>mgalli:</t>
        </r>
        <r>
          <rPr>
            <sz val="8"/>
            <color indexed="81"/>
            <rFont val="Tahoma"/>
            <family val="2"/>
          </rPr>
          <t xml:space="preserve">
Crew of 4 people, for 12 hours
</t>
        </r>
      </text>
    </comment>
    <comment ref="D12" authorId="0" shapeId="0">
      <text>
        <r>
          <rPr>
            <b/>
            <sz val="8"/>
            <color indexed="81"/>
            <rFont val="Tahoma"/>
            <family val="2"/>
          </rPr>
          <t>mgalli:
crew of 8 people for 12 hours</t>
        </r>
      </text>
    </comment>
    <comment ref="A20" authorId="0" shapeId="0">
      <text>
        <r>
          <rPr>
            <b/>
            <sz val="8"/>
            <color indexed="81"/>
            <rFont val="Tahoma"/>
            <family val="2"/>
          </rPr>
          <t>mgalli:</t>
        </r>
        <r>
          <rPr>
            <sz val="8"/>
            <color indexed="81"/>
            <rFont val="Tahoma"/>
            <family val="2"/>
          </rPr>
          <t xml:space="preserve">
2 PPE per crew member</t>
        </r>
      </text>
    </comment>
    <comment ref="A24" authorId="0" shapeId="0">
      <text>
        <r>
          <rPr>
            <b/>
            <sz val="8"/>
            <color indexed="81"/>
            <rFont val="Tahoma"/>
            <family val="2"/>
          </rPr>
          <t>mgalli:</t>
        </r>
        <r>
          <rPr>
            <sz val="8"/>
            <color indexed="81"/>
            <rFont val="Tahoma"/>
            <family val="2"/>
          </rPr>
          <t xml:space="preserve">
1.5 bolts per head to account for mis-shoots </t>
        </r>
      </text>
    </comment>
    <comment ref="A28" authorId="0" shapeId="0">
      <text>
        <r>
          <rPr>
            <b/>
            <sz val="8"/>
            <color indexed="81"/>
            <rFont val="Tahoma"/>
            <family val="2"/>
          </rPr>
          <t>mgalli:</t>
        </r>
        <r>
          <rPr>
            <sz val="8"/>
            <color indexed="81"/>
            <rFont val="Tahoma"/>
            <family val="2"/>
          </rPr>
          <t xml:space="preserve">
1.5 bolts per head to account for mis-shoots </t>
        </r>
      </text>
    </comment>
    <comment ref="A32" authorId="0" shapeId="0">
      <text>
        <r>
          <rPr>
            <b/>
            <sz val="8"/>
            <color indexed="81"/>
            <rFont val="Tahoma"/>
            <family val="2"/>
          </rPr>
          <t>mgalli:</t>
        </r>
        <r>
          <rPr>
            <sz val="8"/>
            <color indexed="81"/>
            <rFont val="Tahoma"/>
            <family val="2"/>
          </rPr>
          <t xml:space="preserve">
dose 1 ml per 10 lbs of body weight
Source: NAHEMS Guidelines Euthanasia</t>
        </r>
      </text>
    </comment>
    <comment ref="D32" authorId="0" shapeId="0">
      <text>
        <r>
          <rPr>
            <b/>
            <sz val="8"/>
            <color indexed="81"/>
            <rFont val="Tahoma"/>
            <family val="2"/>
          </rPr>
          <t>mgalli:</t>
        </r>
        <r>
          <rPr>
            <sz val="8"/>
            <color indexed="81"/>
            <rFont val="Tahoma"/>
            <family val="2"/>
          </rPr>
          <t xml:space="preserve">
48 bottles needed, Average cow weight estimated at 900 lbs
Source: Rate of growth of the dairy cow by Samuel Brody</t>
        </r>
      </text>
    </comment>
    <comment ref="D33" authorId="0" shapeId="0">
      <text>
        <r>
          <rPr>
            <b/>
            <sz val="8"/>
            <color indexed="81"/>
            <rFont val="Tahoma"/>
            <family val="2"/>
          </rPr>
          <t>mgalli:</t>
        </r>
        <r>
          <rPr>
            <sz val="8"/>
            <color indexed="81"/>
            <rFont val="Tahoma"/>
            <family val="2"/>
          </rPr>
          <t xml:space="preserve">
number of syringes needed equals number of head plus 10%</t>
        </r>
      </text>
    </comment>
    <comment ref="A38" authorId="0" shapeId="0">
      <text>
        <r>
          <rPr>
            <b/>
            <sz val="8"/>
            <color indexed="81"/>
            <rFont val="Tahoma"/>
            <family val="2"/>
          </rPr>
          <t>mgalli:</t>
        </r>
        <r>
          <rPr>
            <sz val="8"/>
            <color indexed="81"/>
            <rFont val="Tahoma"/>
            <family val="2"/>
          </rPr>
          <t xml:space="preserve">
1.5 bolts per head to account for mis-shoots </t>
        </r>
      </text>
    </comment>
    <comment ref="F46" authorId="0" shapeId="0">
      <text>
        <r>
          <rPr>
            <b/>
            <sz val="8"/>
            <color indexed="81"/>
            <rFont val="Tahoma"/>
            <family val="2"/>
          </rPr>
          <t>mgalli:</t>
        </r>
        <r>
          <rPr>
            <sz val="8"/>
            <color indexed="81"/>
            <rFont val="Tahoma"/>
            <family val="2"/>
          </rPr>
          <t xml:space="preserve">
panels used for 15 premises (estimate by Dr. Burke Healy, VS)</t>
        </r>
      </text>
    </comment>
    <comment ref="A71" authorId="0" shapeId="0">
      <text>
        <r>
          <rPr>
            <b/>
            <sz val="8"/>
            <color indexed="81"/>
            <rFont val="Tahoma"/>
            <family val="2"/>
          </rPr>
          <t>mgalli:</t>
        </r>
        <r>
          <rPr>
            <sz val="8"/>
            <color indexed="81"/>
            <rFont val="Tahoma"/>
            <family val="2"/>
          </rPr>
          <t xml:space="preserve">
dose 1 ml per 10 lbs of body weight
Source: NAHEMS Guidelines Euthanasia</t>
        </r>
      </text>
    </comment>
    <comment ref="D71" authorId="0" shapeId="0">
      <text>
        <r>
          <rPr>
            <b/>
            <sz val="8"/>
            <color indexed="81"/>
            <rFont val="Tahoma"/>
            <family val="2"/>
          </rPr>
          <t>mgalli:</t>
        </r>
        <r>
          <rPr>
            <sz val="8"/>
            <color indexed="81"/>
            <rFont val="Tahoma"/>
            <family val="2"/>
          </rPr>
          <t xml:space="preserve">
48 bottles needed, Average cow weight estimated at 900 lbs
Source: Rate of growth of the dairy cow by Samuel Brody</t>
        </r>
      </text>
    </comment>
    <comment ref="B84" authorId="1" shapeId="0">
      <text>
        <r>
          <rPr>
            <b/>
            <sz val="9"/>
            <color indexed="81"/>
            <rFont val="Tahoma"/>
            <family val="2"/>
          </rPr>
          <t>Knowlton, Robert G:</t>
        </r>
        <r>
          <rPr>
            <sz val="9"/>
            <color indexed="81"/>
            <rFont val="Tahoma"/>
            <family val="2"/>
          </rPr>
          <t xml:space="preserve">
Shurflo SRS-600 sprayer
</t>
        </r>
      </text>
    </comment>
  </commentList>
</comments>
</file>

<file path=xl/comments3.xml><?xml version="1.0" encoding="utf-8"?>
<comments xmlns="http://schemas.openxmlformats.org/spreadsheetml/2006/main">
  <authors>
    <author>mgalli</author>
    <author>Knowlton, Robert G</author>
  </authors>
  <commentList>
    <comment ref="A21" authorId="0" shapeId="0">
      <text>
        <r>
          <rPr>
            <b/>
            <sz val="8"/>
            <color indexed="81"/>
            <rFont val="Tahoma"/>
            <family val="2"/>
          </rPr>
          <t>mgalli:</t>
        </r>
        <r>
          <rPr>
            <sz val="8"/>
            <color indexed="81"/>
            <rFont val="Tahoma"/>
            <family val="2"/>
          </rPr>
          <t xml:space="preserve">
2 PPE per crew member</t>
        </r>
      </text>
    </comment>
    <comment ref="A22" authorId="0" shapeId="0">
      <text>
        <r>
          <rPr>
            <b/>
            <sz val="8"/>
            <color rgb="FF000000"/>
            <rFont val="Tahoma"/>
            <family val="2"/>
          </rPr>
          <t>mgalli:</t>
        </r>
        <r>
          <rPr>
            <sz val="8"/>
            <color rgb="FF000000"/>
            <rFont val="Tahoma"/>
            <family val="2"/>
          </rPr>
          <t xml:space="preserve">
Recommended carbon source:
Iowa State University-Draft Guidelines for Emergency Composting of Cattle Mortalities</t>
        </r>
      </text>
    </comment>
    <comment ref="A23" authorId="0" shapeId="0">
      <text>
        <r>
          <rPr>
            <b/>
            <sz val="8"/>
            <color rgb="FF000000"/>
            <rFont val="Tahoma"/>
            <family val="2"/>
          </rPr>
          <t>mgalli:</t>
        </r>
        <r>
          <rPr>
            <sz val="8"/>
            <color rgb="FF000000"/>
            <rFont val="Tahoma"/>
            <family val="2"/>
          </rPr>
          <t xml:space="preserve">
1 ton lime for every 15,000 lbs of carcass
Source: Nebraska Dept. of Environmental Quality Disposal of Animal Carcass Guidance</t>
        </r>
      </text>
    </comment>
    <comment ref="B46" authorId="1" shapeId="0">
      <text>
        <r>
          <rPr>
            <b/>
            <sz val="9"/>
            <color indexed="81"/>
            <rFont val="Tahoma"/>
            <family val="2"/>
          </rPr>
          <t>Knowlton, Robert G:</t>
        </r>
        <r>
          <rPr>
            <sz val="9"/>
            <color indexed="81"/>
            <rFont val="Tahoma"/>
            <family val="2"/>
          </rPr>
          <t xml:space="preserve">
Shurflo SRS-600 sprayer
</t>
        </r>
      </text>
    </comment>
  </commentList>
</comments>
</file>

<file path=xl/comments4.xml><?xml version="1.0" encoding="utf-8"?>
<comments xmlns="http://schemas.openxmlformats.org/spreadsheetml/2006/main">
  <authors>
    <author>mgalli</author>
    <author>Knowlton, Robert G</author>
  </authors>
  <commentList>
    <comment ref="A22" authorId="0" shapeId="0">
      <text>
        <r>
          <rPr>
            <b/>
            <sz val="8"/>
            <color indexed="81"/>
            <rFont val="Tahoma"/>
            <family val="2"/>
          </rPr>
          <t>mgalli:</t>
        </r>
        <r>
          <rPr>
            <sz val="8"/>
            <color indexed="81"/>
            <rFont val="Tahoma"/>
            <family val="2"/>
          </rPr>
          <t xml:space="preserve">
2 PPE per crew member</t>
        </r>
      </text>
    </comment>
    <comment ref="B74" authorId="1" shapeId="0">
      <text>
        <r>
          <rPr>
            <b/>
            <sz val="9"/>
            <color indexed="81"/>
            <rFont val="Tahoma"/>
            <family val="2"/>
          </rPr>
          <t>Knowlton, Robert G:</t>
        </r>
        <r>
          <rPr>
            <sz val="9"/>
            <color indexed="81"/>
            <rFont val="Tahoma"/>
            <family val="2"/>
          </rPr>
          <t xml:space="preserve">
Shurflo SRS-600 sprayer
</t>
        </r>
      </text>
    </comment>
  </commentList>
</comments>
</file>

<file path=xl/comments5.xml><?xml version="1.0" encoding="utf-8"?>
<comments xmlns="http://schemas.openxmlformats.org/spreadsheetml/2006/main">
  <authors>
    <author>mgalli</author>
    <author>Knowlton, Robert G</author>
  </authors>
  <commentList>
    <comment ref="A21" authorId="0" shapeId="0">
      <text>
        <r>
          <rPr>
            <b/>
            <sz val="8"/>
            <color indexed="81"/>
            <rFont val="Tahoma"/>
            <family val="2"/>
          </rPr>
          <t>mgalli:</t>
        </r>
        <r>
          <rPr>
            <sz val="8"/>
            <color indexed="81"/>
            <rFont val="Tahoma"/>
            <family val="2"/>
          </rPr>
          <t xml:space="preserve">
2 PPE per crew member</t>
        </r>
      </text>
    </comment>
    <comment ref="B73" authorId="1" shapeId="0">
      <text>
        <r>
          <rPr>
            <b/>
            <sz val="9"/>
            <color indexed="81"/>
            <rFont val="Tahoma"/>
            <family val="2"/>
          </rPr>
          <t>Knowlton, Robert G:</t>
        </r>
        <r>
          <rPr>
            <sz val="9"/>
            <color indexed="81"/>
            <rFont val="Tahoma"/>
            <family val="2"/>
          </rPr>
          <t xml:space="preserve">
Shurflo SRS-600 sprayer
</t>
        </r>
      </text>
    </comment>
  </commentList>
</comments>
</file>

<file path=xl/comments6.xml><?xml version="1.0" encoding="utf-8"?>
<comments xmlns="http://schemas.openxmlformats.org/spreadsheetml/2006/main">
  <authors>
    <author>mgalli</author>
    <author>Knowlton, Robert G</author>
  </authors>
  <commentList>
    <comment ref="A21" authorId="0" shapeId="0">
      <text>
        <r>
          <rPr>
            <b/>
            <sz val="8"/>
            <color indexed="81"/>
            <rFont val="Tahoma"/>
            <family val="2"/>
          </rPr>
          <t>mgalli:</t>
        </r>
        <r>
          <rPr>
            <sz val="8"/>
            <color indexed="81"/>
            <rFont val="Tahoma"/>
            <family val="2"/>
          </rPr>
          <t xml:space="preserve">
2 PPE per crew member</t>
        </r>
      </text>
    </comment>
    <comment ref="B56" authorId="1" shapeId="0">
      <text>
        <r>
          <rPr>
            <b/>
            <sz val="9"/>
            <color indexed="81"/>
            <rFont val="Tahoma"/>
            <family val="2"/>
          </rPr>
          <t>Knowlton, Robert G:</t>
        </r>
        <r>
          <rPr>
            <sz val="9"/>
            <color indexed="81"/>
            <rFont val="Tahoma"/>
            <family val="2"/>
          </rPr>
          <t xml:space="preserve">
Shurflo SRS-600 sprayer
</t>
        </r>
      </text>
    </comment>
  </commentList>
</comments>
</file>

<file path=xl/comments7.xml><?xml version="1.0" encoding="utf-8"?>
<comments xmlns="http://schemas.openxmlformats.org/spreadsheetml/2006/main">
  <authors>
    <author>mgalli</author>
    <author>Knowlton, Robert G</author>
  </authors>
  <commentList>
    <comment ref="A21" authorId="0" shapeId="0">
      <text>
        <r>
          <rPr>
            <b/>
            <sz val="8"/>
            <color indexed="81"/>
            <rFont val="Tahoma"/>
            <family val="2"/>
          </rPr>
          <t>mgalli:</t>
        </r>
        <r>
          <rPr>
            <sz val="8"/>
            <color indexed="81"/>
            <rFont val="Tahoma"/>
            <family val="2"/>
          </rPr>
          <t xml:space="preserve">
2 PPE per crew member</t>
        </r>
      </text>
    </comment>
    <comment ref="B70" authorId="1" shapeId="0">
      <text>
        <r>
          <rPr>
            <b/>
            <sz val="9"/>
            <color indexed="81"/>
            <rFont val="Tahoma"/>
            <family val="2"/>
          </rPr>
          <t>Knowlton, Robert G:</t>
        </r>
        <r>
          <rPr>
            <sz val="9"/>
            <color indexed="81"/>
            <rFont val="Tahoma"/>
            <family val="2"/>
          </rPr>
          <t xml:space="preserve">
Shurflo SRS-600 sprayer
</t>
        </r>
      </text>
    </comment>
  </commentList>
</comments>
</file>

<file path=xl/comments8.xml><?xml version="1.0" encoding="utf-8"?>
<comments xmlns="http://schemas.openxmlformats.org/spreadsheetml/2006/main">
  <authors>
    <author>mgalli</author>
    <author>Knowlton, Robert G</author>
  </authors>
  <commentList>
    <comment ref="A21" authorId="0" shapeId="0">
      <text>
        <r>
          <rPr>
            <b/>
            <sz val="8"/>
            <color indexed="81"/>
            <rFont val="Tahoma"/>
            <family val="2"/>
          </rPr>
          <t>mgalli:</t>
        </r>
        <r>
          <rPr>
            <sz val="8"/>
            <color indexed="81"/>
            <rFont val="Tahoma"/>
            <family val="2"/>
          </rPr>
          <t xml:space="preserve">
2 PPE per crew member</t>
        </r>
      </text>
    </comment>
    <comment ref="A22" authorId="0" shapeId="0">
      <text>
        <r>
          <rPr>
            <b/>
            <sz val="8"/>
            <color rgb="FF000000"/>
            <rFont val="Tahoma"/>
            <family val="2"/>
          </rPr>
          <t>mgalli:</t>
        </r>
        <r>
          <rPr>
            <sz val="8"/>
            <color rgb="FF000000"/>
            <rFont val="Tahoma"/>
            <family val="2"/>
          </rPr>
          <t xml:space="preserve">
1 ton lime for every 15,000 lbs of carcass
Source: Nebraska Dept. of Environmental Quality Disposal of Animal Carcass Guidance</t>
        </r>
      </text>
    </comment>
    <comment ref="B45" authorId="1" shapeId="0">
      <text>
        <r>
          <rPr>
            <b/>
            <sz val="9"/>
            <color indexed="81"/>
            <rFont val="Tahoma"/>
            <family val="2"/>
          </rPr>
          <t>Knowlton, Robert G:</t>
        </r>
        <r>
          <rPr>
            <sz val="9"/>
            <color indexed="81"/>
            <rFont val="Tahoma"/>
            <family val="2"/>
          </rPr>
          <t xml:space="preserve">
Shurflo SRS-600 sprayer
</t>
        </r>
      </text>
    </comment>
  </commentList>
</comments>
</file>

<file path=xl/comments9.xml><?xml version="1.0" encoding="utf-8"?>
<comments xmlns="http://schemas.openxmlformats.org/spreadsheetml/2006/main">
  <authors>
    <author>mgalli</author>
    <author>Knowlton, Robert G</author>
  </authors>
  <commentList>
    <comment ref="A23" authorId="0" shapeId="0">
      <text>
        <r>
          <rPr>
            <b/>
            <sz val="8"/>
            <color indexed="81"/>
            <rFont val="Tahoma"/>
            <family val="2"/>
          </rPr>
          <t>mgalli:</t>
        </r>
        <r>
          <rPr>
            <sz val="8"/>
            <color indexed="81"/>
            <rFont val="Tahoma"/>
            <family val="2"/>
          </rPr>
          <t xml:space="preserve">
2 PPE per crew member</t>
        </r>
      </text>
    </comment>
    <comment ref="B28" authorId="1" shapeId="0">
      <text>
        <r>
          <rPr>
            <b/>
            <sz val="9"/>
            <color indexed="81"/>
            <rFont val="Tahoma"/>
            <family val="2"/>
          </rPr>
          <t>Knowlton, Robert G:</t>
        </r>
        <r>
          <rPr>
            <sz val="9"/>
            <color indexed="81"/>
            <rFont val="Tahoma"/>
            <family val="2"/>
          </rPr>
          <t xml:space="preserve">
Shurflo SRS-600 sprayer
</t>
        </r>
      </text>
    </comment>
  </commentList>
</comments>
</file>

<file path=xl/sharedStrings.xml><?xml version="1.0" encoding="utf-8"?>
<sst xmlns="http://schemas.openxmlformats.org/spreadsheetml/2006/main" count="3346" uniqueCount="1288">
  <si>
    <t>The Vaccination tab in the AgSec module will ask the user for some simple inputs, such as the number of vaccination teams available and the number of livestock that can be vaccinated in an 8 hour day.</t>
  </si>
  <si>
    <t>The Advanced Settings drop-down menu will have a tab for Vaccination which will have the background support for costing the vaccination activities.  The listing of the Advanced Settings Vaccination tab is shown below.</t>
  </si>
  <si>
    <t>In addition, a Results table will be displayed in the Vaccination tab of the main AgSec module, as shown lower in this spreadsheet.</t>
  </si>
  <si>
    <t>Personnel</t>
  </si>
  <si>
    <t xml:space="preserve">  </t>
  </si>
  <si>
    <t xml:space="preserve">Vaccination Operator </t>
  </si>
  <si>
    <t>Safety Officer</t>
  </si>
  <si>
    <t xml:space="preserve">Vaccination Crew Members </t>
  </si>
  <si>
    <t>Total Personnel</t>
  </si>
  <si>
    <t>Car Refrigerator</t>
  </si>
  <si>
    <t>per unit</t>
  </si>
  <si>
    <t xml:space="preserve">Class C PPE - all crew </t>
  </si>
  <si>
    <t>Vaccine</t>
  </si>
  <si>
    <t>Variable syringe with feed tube</t>
  </si>
  <si>
    <t xml:space="preserve">1 1/2 in X 18 ga disposable needles </t>
  </si>
  <si>
    <t>per 100</t>
  </si>
  <si>
    <t>Ear tag applicator</t>
  </si>
  <si>
    <t>Ear tags</t>
  </si>
  <si>
    <t>RFID reader</t>
  </si>
  <si>
    <t xml:space="preserve">Sharp Container </t>
  </si>
  <si>
    <t>Equipment</t>
  </si>
  <si>
    <t xml:space="preserve">Portable cattle chute with squeeze </t>
  </si>
  <si>
    <t xml:space="preserve">10 ft X 6 ft portable cattle panels </t>
  </si>
  <si>
    <t xml:space="preserve">7 ft X 16 ft bumper pull flatbed trailer w/ tandem 5000 lb axles </t>
  </si>
  <si>
    <t xml:space="preserve">Crew cab 3/4 Ton Truck w/ Tow Package </t>
  </si>
  <si>
    <t xml:space="preserve">per day </t>
  </si>
  <si>
    <t xml:space="preserve">Crew cab 1/2 Ton Truck </t>
  </si>
  <si>
    <t xml:space="preserve">Pig Snares </t>
  </si>
  <si>
    <t>Cost</t>
  </si>
  <si>
    <t>Unit</t>
  </si>
  <si>
    <t>Total</t>
  </si>
  <si>
    <t>Decontamination</t>
  </si>
  <si>
    <t>Animal Handlers</t>
  </si>
  <si>
    <t>Total Cost of Personnel per team per day</t>
  </si>
  <si>
    <t>User supplied field</t>
  </si>
  <si>
    <t>Ideally PPE would be changed out at each feedlot/ranch/farm and also at the start of each day.</t>
  </si>
  <si>
    <t>Total Cost of Supplies per team</t>
  </si>
  <si>
    <t>Total Cost of Disposable Supplies per animal</t>
  </si>
  <si>
    <t>Total Equipment per team</t>
  </si>
  <si>
    <t>Treatment cost</t>
  </si>
  <si>
    <t>Notes:</t>
  </si>
  <si>
    <t>Total decontamination cost per feedlot</t>
  </si>
  <si>
    <t>Decontamination sprayer</t>
  </si>
  <si>
    <t>Leachate collection equipment</t>
  </si>
  <si>
    <t>per sq ft</t>
  </si>
  <si>
    <t>sq ft per feedlot per decon unit</t>
  </si>
  <si>
    <t>sq ft</t>
  </si>
  <si>
    <t>Leachate disposal drums - 55 gallon poly</t>
  </si>
  <si>
    <t>x [in]</t>
  </si>
  <si>
    <t>y [in]</t>
  </si>
  <si>
    <t>area [sq in]</t>
  </si>
  <si>
    <t>total</t>
  </si>
  <si>
    <t>sq in</t>
  </si>
  <si>
    <t>EasyDecon DF200 has a 100 gallon drum kit that covers 7500 sq ft of area.  A 5 gallon kit covers 350 sq ft and sells for $165. That equates to $0.47 per sq ft.  Modified bleach would be cheaper.</t>
  </si>
  <si>
    <t>Treatment rate (e.g., decon trucks, trailer, panels, etc.)</t>
  </si>
  <si>
    <t>For decontamination, user should estimate square footage to decon equipment (e.g., trucks, fencing, etc.) and assume that decon takes place after each feedlot/ranch/farm is completed.  Assume existing personnel perform decon.</t>
  </si>
  <si>
    <t>Total Equipment rentals per day</t>
  </si>
  <si>
    <t xml:space="preserve">25 caliber charges for captive bolts </t>
  </si>
  <si>
    <t>Euthanasia solution (mls)</t>
  </si>
  <si>
    <t xml:space="preserve">60 ml disposable syringes </t>
  </si>
  <si>
    <t>Sharp container</t>
  </si>
  <si>
    <t>per day</t>
  </si>
  <si>
    <t>Crew cab 3/4 Ton Truck w/ Tow Package</t>
  </si>
  <si>
    <t>Loader with operator</t>
  </si>
  <si>
    <t>Skid Steer with operator</t>
  </si>
  <si>
    <t>Amount</t>
  </si>
  <si>
    <t>Results</t>
  </si>
  <si>
    <t>Cattle</t>
  </si>
  <si>
    <t>Sheep</t>
  </si>
  <si>
    <t>Swine</t>
  </si>
  <si>
    <t>Goats</t>
  </si>
  <si>
    <t>Infected Zone</t>
  </si>
  <si>
    <t>Buffer Zone</t>
  </si>
  <si>
    <t>Vaccination Zone</t>
  </si>
  <si>
    <t>Parameters to be used to calculate costs and time, combined with data from the Vaccination tab of the AgSec module</t>
  </si>
  <si>
    <t>Totals</t>
  </si>
  <si>
    <t>per hour per person</t>
  </si>
  <si>
    <t>Depopulation basically means stamping out the infected and/or control area livestock to eradicate the FMD.</t>
  </si>
  <si>
    <t>Note: the decontamination estimate is for personnel and equipment associated with the Depopulation effort, not full decon of animals and facilities.</t>
  </si>
  <si>
    <t>Note: the decontamination estimate is for personnel and equipment associated with the Vaccination effort, not full decon of animals and facilities.</t>
  </si>
  <si>
    <t>Penetrating Captive Bolt Method</t>
  </si>
  <si>
    <t>Gunshot Method</t>
  </si>
  <si>
    <t>Injection Method</t>
  </si>
  <si>
    <t>Gas Asphyxiation Method</t>
  </si>
  <si>
    <t>Gas chamber</t>
  </si>
  <si>
    <t>Gas supply cylinders</t>
  </si>
  <si>
    <t>Valves/pumps/hardware for gas regulation</t>
  </si>
  <si>
    <t>Total Equipment purchased per team</t>
  </si>
  <si>
    <t>Total Equipment for Captive Bolt Method per team</t>
  </si>
  <si>
    <t>Total Equipment for Gunshot Method per team</t>
  </si>
  <si>
    <t>Total Equipment for Injection Method per team</t>
  </si>
  <si>
    <t>Total Equipment for Gas Asphyxiation Method per team</t>
  </si>
  <si>
    <t>Total Personnel cost for each team per day</t>
  </si>
  <si>
    <t>Site Manager</t>
  </si>
  <si>
    <t>Crew Members</t>
  </si>
  <si>
    <t>Loader operator</t>
  </si>
  <si>
    <t>Assumptions</t>
  </si>
  <si>
    <t>Permits are already in hand*</t>
  </si>
  <si>
    <t>Supporting permit data already collected and analyzed</t>
  </si>
  <si>
    <t>Loss of APHIS productivity not recovered in this estimate</t>
  </si>
  <si>
    <t>Carbon Source</t>
  </si>
  <si>
    <t xml:space="preserve"> </t>
  </si>
  <si>
    <t>Permitted composting will not require environmental clean up</t>
  </si>
  <si>
    <t>Note: there are separate cost summaries for the 4 different killing methods</t>
  </si>
  <si>
    <t>Note: no equipment for the Injection Method required</t>
  </si>
  <si>
    <t>Total Equipment rented per team per day</t>
  </si>
  <si>
    <t>Parameters to be used to calculate costs and time, combined with data from the Depopulation tab of the AgSec module</t>
  </si>
  <si>
    <t>Gun ammunition, e.g., 0.308 caliber</t>
  </si>
  <si>
    <t>Gun, e.g., 0.308 calibre rifle</t>
  </si>
  <si>
    <t>Total Supplies for Captive Bolt Method per animal</t>
  </si>
  <si>
    <t>Total Supplies for Gunshot Method  per animal</t>
  </si>
  <si>
    <t>Total Supplies for Injection Method  per animal</t>
  </si>
  <si>
    <t>Total Supplies for Gas Asphyxiation Method  per animal</t>
  </si>
  <si>
    <t>Rendering may require plant decon</t>
  </si>
  <si>
    <t>Rendering</t>
  </si>
  <si>
    <t>Hours per day worked</t>
  </si>
  <si>
    <t>number of persons</t>
  </si>
  <si>
    <t>number of units</t>
  </si>
  <si>
    <t>hours worked per day</t>
  </si>
  <si>
    <t>units x 1,000</t>
  </si>
  <si>
    <t>$ per unit</t>
  </si>
  <si>
    <t>$ per 20 rounds</t>
  </si>
  <si>
    <t>$ per 1,000</t>
  </si>
  <si>
    <t>$ per hour per person</t>
  </si>
  <si>
    <t>$ per 250ml</t>
  </si>
  <si>
    <t>$ per tank</t>
  </si>
  <si>
    <t>number of tanks</t>
  </si>
  <si>
    <t>number of days</t>
  </si>
  <si>
    <t>Treatment rate and cost (e.g., decon trucks, trailer, panels, etc.)</t>
  </si>
  <si>
    <t>Loader rental</t>
  </si>
  <si>
    <t>Transportation</t>
  </si>
  <si>
    <t>Facility Decontamination</t>
  </si>
  <si>
    <t>Length of workday</t>
  </si>
  <si>
    <t>Preprocessing of Carcasses</t>
  </si>
  <si>
    <r>
      <t xml:space="preserve">Special Design Intermodal Container </t>
    </r>
    <r>
      <rPr>
        <sz val="11"/>
        <color theme="1"/>
        <rFont val="Calibri"/>
        <family val="2"/>
        <scheme val="minor"/>
      </rPr>
      <t>(Note 1)</t>
    </r>
  </si>
  <si>
    <r>
      <t xml:space="preserve">Special Design Truck </t>
    </r>
    <r>
      <rPr>
        <sz val="11"/>
        <color theme="1"/>
        <rFont val="Calibri"/>
        <family val="2"/>
        <scheme val="minor"/>
      </rPr>
      <t>(Note 2)</t>
    </r>
  </si>
  <si>
    <r>
      <t xml:space="preserve">Dump Truck or Render Haul Truck with Liner </t>
    </r>
    <r>
      <rPr>
        <sz val="11"/>
        <color theme="1"/>
        <rFont val="Calibri"/>
        <family val="2"/>
        <scheme val="minor"/>
      </rPr>
      <t>(Note 3)</t>
    </r>
  </si>
  <si>
    <r>
      <t xml:space="preserve">6200 gal liquid tanker </t>
    </r>
    <r>
      <rPr>
        <sz val="11"/>
        <color theme="1"/>
        <rFont val="Calibri"/>
        <family val="2"/>
        <scheme val="minor"/>
      </rPr>
      <t>(Note 4)</t>
    </r>
  </si>
  <si>
    <t>Composting</t>
  </si>
  <si>
    <t>Depopulation</t>
  </si>
  <si>
    <t>Vaccination</t>
  </si>
  <si>
    <t>Off-Site Landfill Burial</t>
  </si>
  <si>
    <t>On-Site Burial</t>
  </si>
  <si>
    <t>Off-Site Incineration</t>
  </si>
  <si>
    <t>Mobile Treatment</t>
  </si>
  <si>
    <t>Parameter References</t>
  </si>
  <si>
    <t>Parameters to be used to calculate costs and time, combined with data from the Rendering tab of the AgSec module</t>
  </si>
  <si>
    <t>Note: from "Managing Contaminated Animal and Plant Materials, Field Guide on Best Practices", fixed facility incinerators should be able to process 6 tons per 24 hours.</t>
  </si>
  <si>
    <t>Note: from "Managing Contaminated Animal and Plant Materials, Field Guide on Best Practices", rendering facilities should be able to process 100 tons per 24 hours.</t>
  </si>
  <si>
    <t>$ per day</t>
  </si>
  <si>
    <t>Units</t>
  </si>
  <si>
    <t>tons per day</t>
  </si>
  <si>
    <t>$ per ton</t>
  </si>
  <si>
    <t xml:space="preserve">Decon laborers </t>
  </si>
  <si>
    <t xml:space="preserve">Truck/tanker drivers </t>
  </si>
  <si>
    <t>$ per hour</t>
  </si>
  <si>
    <t>number of units per day</t>
  </si>
  <si>
    <t>$ per day per person</t>
  </si>
  <si>
    <t>Industrial meat grinder</t>
  </si>
  <si>
    <t xml:space="preserve">processes 1.5 tons per hour </t>
  </si>
  <si>
    <t>from CA estimator publication</t>
  </si>
  <si>
    <t>Standard CONUS per diem rate for the US from GSA web site</t>
  </si>
  <si>
    <t>Travel per diem (lodging, meals, and incidentals)</t>
  </si>
  <si>
    <t>$ per week</t>
  </si>
  <si>
    <t>from Hertz rental web site</t>
  </si>
  <si>
    <t>Industrial meat crusher</t>
  </si>
  <si>
    <t xml:space="preserve">processes 40 tons per hour </t>
  </si>
  <si>
    <t>Item</t>
  </si>
  <si>
    <t>Location</t>
  </si>
  <si>
    <t>Comments</t>
  </si>
  <si>
    <t>.25 caliber cartridges</t>
  </si>
  <si>
    <t>http://www.qcsupply.com/qcsupply/browse/productDetailWithPicker.jsp?productId=140683OR&amp;categoryId=12445&amp;fromPage=partsAccessories</t>
  </si>
  <si>
    <t>Orange Power Loads for .25 Caliber HD Cash Special Stun Gun- Cattle, sows, boars 1000 loads per box</t>
  </si>
  <si>
    <t>http://www.qcsupply.com/qcsupply/browse/productDetailWithPicker.jsp?productId=140683BL&amp;categoryId=12445&amp;fromPage=partsAccessories</t>
  </si>
  <si>
    <t>Blue Power Loads for .25 Caliber HD Cash Special Stun Gun- hogs 50-250 lbs</t>
  </si>
  <si>
    <t>1 1/2 in X 18 ga disposable needles</t>
  </si>
  <si>
    <t>http://www.pbsanimalhealth.com/cgi-local/SoftCart.exe/instruments/needles.html?L+scstore+xlhy2916ff452c45</t>
  </si>
  <si>
    <t>205-534 18x1-1/2" disposable needles (box of 100)</t>
  </si>
  <si>
    <t>1 in X 14 ga disposable needles</t>
  </si>
  <si>
    <t>205-520 14x1" disposable needles (box of 100)</t>
  </si>
  <si>
    <t>1/2-ton Pick-up truck</t>
  </si>
  <si>
    <t>Enterprise- U.S. government truck rental agreement: current as of January 12, 2009</t>
  </si>
  <si>
    <t>Average cost per month (surcharge area and regular area)</t>
  </si>
  <si>
    <t>10 ft X 6 ft portable cattle panels (no)</t>
  </si>
  <si>
    <t>http://www.badcattlepanels.com/panels.htm</t>
  </si>
  <si>
    <t>100 ft 5/8 Garden Hose</t>
  </si>
  <si>
    <t>http://cgi.ebay.com/GARDEN-WATER-HOSE-GILMOUR-FLEXOGEN-5-8-100FT</t>
  </si>
  <si>
    <t>GARDEN WATER HOSE GILMOUR FLEXOGEN</t>
  </si>
  <si>
    <t>12 ml  disposable syringes</t>
  </si>
  <si>
    <t>http://www.jefferspet.com</t>
  </si>
  <si>
    <t>Luer Lock 13ml syrines (box of 80)</t>
  </si>
  <si>
    <t xml:space="preserve">2 ton flat bed truck w/ Class 1 DOT hitch </t>
  </si>
  <si>
    <t>http://www.uofaweb.ualberta.ca/facilities//pdfs/RentalRatesVPoolcommercialsource2007-2008.pdf</t>
  </si>
  <si>
    <t>TRUCK 2-3 Ton Van Body Hydraulic Lift</t>
  </si>
  <si>
    <t>3/4-ton Pick-up truck</t>
  </si>
  <si>
    <t>Enterprise- U.S. government truck rental agreement: current as of January 12, 2010</t>
  </si>
  <si>
    <t xml:space="preserve">500 gallon water tank </t>
  </si>
  <si>
    <t>http://www.tank-depot.com/productdetails.aspx?part=TC6446IW-GREEN&amp;ref=base</t>
  </si>
  <si>
    <t>500 Gallon Vertical Water Tank</t>
  </si>
  <si>
    <t>60 ml disposable syringes</t>
  </si>
  <si>
    <t>Luer Lock 60 ml syrines (box of 20)</t>
  </si>
  <si>
    <t>7 ft X 16 ft bumper pull flatbed trailer w/ tandem 5000 lb axles (no)</t>
  </si>
  <si>
    <t>http://www.tjtrailers.com/store/flatbed-trailers-tandem-axle.html</t>
  </si>
  <si>
    <t>TANDEM AXLE UTILITY TRAILER - 5,000 LB GVWR- 77" X 16' BT50LA-16 $ 2,187.00</t>
  </si>
  <si>
    <t>Axe</t>
  </si>
  <si>
    <t>http://www.lowes.com/lowes/lkn?action=productDetail&amp;productId=274941-302-1215400&amp;lpage=none</t>
  </si>
  <si>
    <t>True Temper 3-1/2 Lb. Total Control Axe</t>
  </si>
  <si>
    <t>Brooms</t>
  </si>
  <si>
    <t>http://www.dealtime.com/</t>
  </si>
  <si>
    <t>Harper 24" Broom (Price excludes S&amp;H)</t>
  </si>
  <si>
    <t>Brooms (heavy)</t>
  </si>
  <si>
    <t>http://www.lowes.com/lowes/lkn?action=productDetail&amp;productId=236431-1738-00525&amp;lpage=none</t>
  </si>
  <si>
    <t>Quickie 18" Palmyra Pushbroom</t>
  </si>
  <si>
    <t>Brushes</t>
  </si>
  <si>
    <t>http://www.gemplers.com/search/Brushes/2</t>
  </si>
  <si>
    <t>14" Shop Bench Brush</t>
  </si>
  <si>
    <t>Buckets</t>
  </si>
  <si>
    <t>http://www.freundcontainer.com</t>
  </si>
  <si>
    <t>Open Head Plastic Pails</t>
  </si>
  <si>
    <t>Captive bolt</t>
  </si>
  <si>
    <t xml:space="preserve">Car Refrigerator </t>
  </si>
  <si>
    <t>http://www.compactappliance.com/P75-Koolatron-36-Quart-12-Volt-Portable-Travel-Cooler-Fridge/P75,default,pd.html?cgid=Outdoor_Living-Travel_Coolers</t>
  </si>
  <si>
    <t>36 quart 12 volt cooler</t>
  </si>
  <si>
    <t>Class C PPE</t>
  </si>
  <si>
    <t>http://www.gemplers.com/search/Personal%20Protective%20Equipment/5</t>
  </si>
  <si>
    <t>Dupont Tychem ® QC Hooded Coverall</t>
  </si>
  <si>
    <t>Claw Hammer</t>
  </si>
  <si>
    <t>http://www.lowes.com/lowes/lkn?action=productDetail&amp;productId=26974-16878-60347&amp;lpage=none</t>
  </si>
  <si>
    <t>Kobalt 16 oz. Curved Claw Hammer with Angled Handle</t>
  </si>
  <si>
    <t>Corn Silage</t>
  </si>
  <si>
    <t>USDA RMA 2009 Commodity Insurance Fact Sheet- average elective price for CA and CT, DE, ME, MD, MA, NH, NJ, NY, NC, PA, RI, VT, VA, WV</t>
  </si>
  <si>
    <t>per ton of corn silage</t>
  </si>
  <si>
    <t>Crescent wrench (12 in)</t>
  </si>
  <si>
    <t>http://www.lowes.com/lowes/lkn?action=productDetail&amp;productId=98102-273-AC112VSM&amp;lpage=none</t>
  </si>
  <si>
    <t>Crescent 12" Alloy Steel Adjustable Wrench</t>
  </si>
  <si>
    <t>TRUCK 1/2-3/4-1 Ton Crew Cab 4x4</t>
  </si>
  <si>
    <t>Crowbar</t>
  </si>
  <si>
    <t>http://www.materials.com/Titanium_tools.HTML</t>
  </si>
  <si>
    <t>Titanium 21 Inch Crowbar</t>
  </si>
  <si>
    <t>Ear tag</t>
  </si>
  <si>
    <t>http://www.nationalband.com/rfidprice.pdf</t>
  </si>
  <si>
    <t>Tamper evident combo ear tag</t>
  </si>
  <si>
    <t>http://www.cattlestore.com/p-213-y-tex-ear-tag-applicator.aspx</t>
  </si>
  <si>
    <t>Electrical Cord</t>
  </si>
  <si>
    <t>http://www.accentshopping.com/product.asp?P_ID=148676</t>
  </si>
  <si>
    <t>12 Gauge Indoor/Outdoor Electrical Cords-100'</t>
  </si>
  <si>
    <t>Euthanasia solution</t>
  </si>
  <si>
    <t>http://www.shopmedvet.com/product/7247/rxf</t>
  </si>
  <si>
    <t>Fatal-Plus Solution (CII) 250ml</t>
  </si>
  <si>
    <t>Fiber Brushes (long handled)</t>
  </si>
  <si>
    <t>http://www.lowes.com/lowes/lkn?action=productDetail&amp;productId=269311-13353-557-12&amp;lpage=none</t>
  </si>
  <si>
    <t>Harper Brush 9" Wood and Natural Fiber Card Board Roofing Brush (Brush Only)</t>
  </si>
  <si>
    <t>First Aird Kit w/ Eye Wash</t>
  </si>
  <si>
    <t>http://www.kencofire.com/pa10pewe1sta.html</t>
  </si>
  <si>
    <t>PAC-KIT 10 PERSON WEATHERPROOF FIRST AID KIT WITH EYEWASH</t>
  </si>
  <si>
    <t>Fork (manure)</t>
  </si>
  <si>
    <t>http://www.lowes.com/lowes/lkn?action=productDetail&amp;productId=94330-302-1812300&amp;lpage=none</t>
  </si>
  <si>
    <t>Ames True Temper 48" Wood-Handle 5-Tine Manure Fork</t>
  </si>
  <si>
    <t>Garbage Can (galvanized-30 gallon)</t>
  </si>
  <si>
    <t>http://trashcansunlimited.com/galvanized_trash_cans.html</t>
  </si>
  <si>
    <t>Tough Guy 10 Gallon Galvanized Garbage Pail with Lid</t>
  </si>
  <si>
    <t>Hatchet</t>
  </si>
  <si>
    <t>http://www.lowes.com/lowes/lkn?action=productDetail&amp;productId=274937-302-1215300&amp;lpage=none</t>
  </si>
  <si>
    <t>True Temper Total Control Elite Hatchet</t>
  </si>
  <si>
    <t>High pressure air compressor  (high volume leaf blower)</t>
  </si>
  <si>
    <t>http://www.buyautotruckaccessories.com/</t>
  </si>
  <si>
    <t>Wolo Air Compressor - HD, High Pressure Air Compressor (designed to fill 5.5 liter large volume tanks)</t>
  </si>
  <si>
    <t>Hoes</t>
  </si>
  <si>
    <t>http://www.lowes.com/lowes/lkn?action=productDetail&amp;productId=99064-302-1812000&amp;lpage=none</t>
  </si>
  <si>
    <t>Ames True Temper 60" Wood Garden Hoe</t>
  </si>
  <si>
    <t>Hose (3/4)</t>
  </si>
  <si>
    <t>http://www.lowes.com/lowes/lkn?action=productDetail&amp;productId=75153-177-LOTAP34075</t>
  </si>
  <si>
    <t>Swan 3/4" x 75' American Pride Hose</t>
  </si>
  <si>
    <t>Hot/Cold Pressure Washer</t>
  </si>
  <si>
    <t>http://cgi.ebay.com/PRESSURE-WASHER---Hot-%26-Cold-Water---4-GPM---4,000-PSI_W0QQitemZ140308843806QQcmdZViewItem</t>
  </si>
  <si>
    <t>PRESSURE WASHER - Hot &amp; Cold Water - 4 GPM - 4,000 PSI</t>
  </si>
  <si>
    <t>Lime</t>
  </si>
  <si>
    <t>email from CHENEY LIME &amp; CEMENT COMP</t>
  </si>
  <si>
    <t>per ton of hydrated lime</t>
  </si>
  <si>
    <t>Multidose 50 ml pistol grip syringes</t>
  </si>
  <si>
    <t>http://www.pbsanimalhealth.com/cgi-local/SoftCart.exe/instruments/pistolgripsyringe50mr.html?L+scstore+xlhy2916ff452c45</t>
  </si>
  <si>
    <t>Pistol Grip Syringe 50MR</t>
  </si>
  <si>
    <t>Pails (12-14 quart)</t>
  </si>
  <si>
    <t>http://www.lowes.com/lowes/lkn?action=productDetail&amp;productId=143945-84240-03205</t>
  </si>
  <si>
    <t>United Solutions 3.5 Gallon. E-Z Grip Pail</t>
  </si>
  <si>
    <t xml:space="preserve">Pig snare </t>
  </si>
  <si>
    <t>http://www.kvvet.com/KVVet/dept.asp?dept%5Fid=136&amp;gift=False&amp;0=dept%2Easp%2Cdept%5Fid%3D198%26Tree%3D%2CComplete%20Catalog&amp;1=dept%2Easp%2Cdept%5Fid%3D125%26menu%5Fid%3D%26Tree%3D0%2CLivestock&amp;mscssid=0A06DAC7784746C08BF6B5D5D39845BC</t>
  </si>
  <si>
    <t>A quality hog catcher with heavy aviation cable snare. Replacement cables available.</t>
  </si>
  <si>
    <t>pig snare replacement cable</t>
  </si>
  <si>
    <t>http://www.kvvet.com/KVVet/productr.asp?pf%5Fid=86266&amp;gift=False&amp;0=dept%2Easp%2Cdept%5Fid%3D198%26Tree%3D%2CComplete%20Catalog&amp;1=dept%2Easp%2Cdept%5Fid%3D125%26menu%5Fid%3D%26Tree%3D0%2CLivestock&amp;2=dept%2Easp%2Cdept%5Fid%3D136%26menu%5Fid%3D%26Tree%3D1%2CHandling%20Equipment&amp;HSLB=False&amp;mscssid=0A06DAC7784746C08BF6B5D5D39845BC</t>
  </si>
  <si>
    <t>Replacement cable for the hog catcher</t>
  </si>
  <si>
    <t>Plastic Bag (30 gallon)</t>
  </si>
  <si>
    <t>http://www.supplytime.com/pd/SupplyTime_com/CLOROX_PROFESSIONAL/GLAD_30Gallon_Drawstring_Outdoor_Trash_Bags/1_Case/00800110011077/BCF43696</t>
  </si>
  <si>
    <t>GLAD 30-Gallon Drawstring Outdoor Trash Bags</t>
  </si>
  <si>
    <t>Plastic Bag (50 gallon)</t>
  </si>
  <si>
    <t>http://www.ourshippingsupplies.com/productDetails.asp?id=LD-1514-RC</t>
  </si>
  <si>
    <t xml:space="preserve">40-55 Gallon Custom Fit Roll Cart Bags-1.5 Mil - Med. Duty </t>
  </si>
  <si>
    <t>Plastic Tub (10 Gallons)</t>
  </si>
  <si>
    <t>http://www.lowes.com/lowes/lkn?action=productDetail&amp;productId=305704-84240-TU0089&amp;lpage=none</t>
  </si>
  <si>
    <t>United Solutions 10-Gallon Plastic Container</t>
  </si>
  <si>
    <t>Pliers</t>
  </si>
  <si>
    <t>http://www.lowes.com/lowes/lkn?action=productDetail&amp;productId=253677-16878-50954&amp;lpage=none</t>
  </si>
  <si>
    <t>Kobalt 5-Piece Plier Set</t>
  </si>
  <si>
    <t>Portable cattle chute with squeeze (no)</t>
  </si>
  <si>
    <t>http://www.for-most.com/squeezechutes.html</t>
  </si>
  <si>
    <t>Pressure Washer 100 ft hose</t>
  </si>
  <si>
    <t>http://cgi.ebay.com/100ft-New-5500psi-Blue-Non-Marking-Pressure-Washer-Hose</t>
  </si>
  <si>
    <t>100ft New 5500psi Blue Non-Marking Pressure Washer Hose</t>
  </si>
  <si>
    <t>Proportioners</t>
  </si>
  <si>
    <t>http://equipment.loctite.com/</t>
  </si>
  <si>
    <t>Hydromaster 216 Proportioner</t>
  </si>
  <si>
    <t>Rakes</t>
  </si>
  <si>
    <t>http://www.kaboodle.com/reviews/two-in-one-pick-up-rake</t>
  </si>
  <si>
    <t>Two in one pick up rake</t>
  </si>
  <si>
    <t>Paddle reader</t>
  </si>
  <si>
    <t>Rubber Gloves</t>
  </si>
  <si>
    <t>http://www.airgas.com/browse/product.aspx?Msg=RecID&amp;recIds=54859&amp;WT.svl=54859</t>
  </si>
  <si>
    <t>Radnor® Medium Yellow 12" Flock Lined 18 MIL Textured Palm Natural Latex Gloves</t>
  </si>
  <si>
    <t>Sani-Plex 128 Disinfectant/Cleaner</t>
  </si>
  <si>
    <t>Quip Labratories 302-761-2599</t>
  </si>
  <si>
    <t>1 gallon Sani-Plex 128 Disinfectant/Cleaner  Mix rate: 1 oz per gallon water</t>
  </si>
  <si>
    <t>MB-10 Tablets, 6 gram multi pack</t>
  </si>
  <si>
    <t>Quip Labratories 302-761-2600</t>
  </si>
  <si>
    <t>280 tablet pack MB-10 Tablets, 6 gram multi pack Mix rate: 1 tablet per gallon of water</t>
  </si>
  <si>
    <t>Safety Goggles</t>
  </si>
  <si>
    <t>http://www.lowes.com/lowes/lkn?action=productDetail&amp;productId=79788-429-91252-80024&amp;lpage=none</t>
  </si>
  <si>
    <t>AOSafety Chemical/Splash Safety Goggles</t>
  </si>
  <si>
    <t>Scrapers (long handled)</t>
  </si>
  <si>
    <t>http://www.lowes.com/lowes/lkn?action=productDetail&amp;productId=99753-302-1682300&amp;lpage=none</t>
  </si>
  <si>
    <t>Ames True Temper 48" Scraper Edger Shank</t>
  </si>
  <si>
    <t>Screwdriver/Philips Screwdriver</t>
  </si>
  <si>
    <t>http://www.lowes.com/lowes/lkn?action=productDetail&amp;productId=115462-86580-SF3&amp;lpage=none</t>
  </si>
  <si>
    <t>Kobalt 15-Piece SPEEDFIT Multi-Bit Screwdriver</t>
  </si>
  <si>
    <t>Sharp Container</t>
  </si>
  <si>
    <t>http://www.kvvet.com/KVVet/dept.asp?dept_id=957&amp;menu_id=&amp;Tree=1&amp;mscssid=00BF7540FF1E5F493AAB1B0DB36D3B24&amp;Gift=false&amp;GiftID=&amp;0=dept%2Easp%2Cdept%5Fid%3D198%26Tree%3D%2CComplete+Catalog&amp;1=dept%2Easp%2Cdept%5Fid%3D125%26menu%5Fid%3D%26Tree%3D0%2CLivestock&amp;</t>
  </si>
  <si>
    <t>5 quart sharp container</t>
  </si>
  <si>
    <t>Shop vacuum</t>
  </si>
  <si>
    <t>http://www.lowes.com/lowes/lkn?action=productDetail&amp;productId=226750-70-DC515K&amp;lpage=none</t>
  </si>
  <si>
    <t>DeWALT 1/2 Gallon Wet/Dry Portable Shop Vacuum</t>
  </si>
  <si>
    <t>Shovel</t>
  </si>
  <si>
    <t>http://www.lowes.com/lowes/lkn?action=productDetail&amp;productId=47152-302-1585500&amp;lpage=none</t>
  </si>
  <si>
    <t>Ames True Temper 39" Fiberglass Long-Handle, Square Point Shovel</t>
  </si>
  <si>
    <t>Sponges</t>
  </si>
  <si>
    <t>http://www.lowes.com/lowes/lkn?action=productDetail&amp;productId=39771-98-HD-3&amp;lpage=none</t>
  </si>
  <si>
    <t>Scotch-Brite 3-Pack Heavy Duty Scrub Sponge</t>
  </si>
  <si>
    <t>Stainless steele hand sprayer</t>
  </si>
  <si>
    <t>http://www.domyownpestcontrol.com/chapin-gallon-cart-sprayer-6300-p-703.html</t>
  </si>
  <si>
    <t>Chapin 6 Gallon Cart Sprayer (#6300)</t>
  </si>
  <si>
    <t>Tent</t>
  </si>
  <si>
    <t>http://www.rei.com/product/777753</t>
  </si>
  <si>
    <t>REI Base Camp 4 Tent</t>
  </si>
  <si>
    <t>http://www.valleyvet.com/ct_detail.html?pgguid=30e07db1-7b6a-11d5-a192-00b0d0204ae5</t>
  </si>
  <si>
    <t>Socorex - 0.5 to 5.0 ml w/feed tube &amp; bottle attach</t>
  </si>
  <si>
    <t>Wire Brushes (w/ scraper nose)</t>
  </si>
  <si>
    <t>http://www.lowes.com/lowes/lkn?action=productDetail&amp;productId=178374-1077-07227&amp;lpage=none</t>
  </si>
  <si>
    <t>Shur-Line Long Handle Wire Stripping Brush</t>
  </si>
  <si>
    <t>Price (per unit)</t>
  </si>
  <si>
    <t>Personnel - Safety Officer Representative</t>
  </si>
  <si>
    <t>Personnel - Site Manager</t>
  </si>
  <si>
    <t xml:space="preserve">Personnel - Truck/tanker drivers </t>
  </si>
  <si>
    <t xml:space="preserve">Personnel - Decon laborers </t>
  </si>
  <si>
    <t>Personnel - Loader operator</t>
  </si>
  <si>
    <t>From the Bureau of Labor Statistics</t>
  </si>
  <si>
    <t>Personnel - Crew Members</t>
  </si>
  <si>
    <t xml:space="preserve">Truck - Crew cab 1/2 Ton w/ tow package </t>
  </si>
  <si>
    <t xml:space="preserve">Chains - 5 Foot with hook and ring </t>
  </si>
  <si>
    <t xml:space="preserve">Chains - 12 Foot with hooks on both ends </t>
  </si>
  <si>
    <t>from Harbor Freight web site</t>
  </si>
  <si>
    <t>$ per 20 rounds from Cheaper Than Dirt web site</t>
  </si>
  <si>
    <t>from Cheaper Than Dirt web site</t>
  </si>
  <si>
    <t>On-Site Incineration</t>
  </si>
  <si>
    <r>
      <t>6'</t>
    </r>
    <r>
      <rPr>
        <sz val="11"/>
        <color theme="1"/>
        <rFont val="Calibri"/>
        <family val="2"/>
        <scheme val="minor"/>
      </rPr>
      <t xml:space="preserve"> </t>
    </r>
    <r>
      <rPr>
        <sz val="11"/>
        <color indexed="8"/>
        <rFont val="Calibri"/>
        <family val="2"/>
        <scheme val="minor"/>
      </rPr>
      <t>x</t>
    </r>
    <r>
      <rPr>
        <sz val="11"/>
        <color theme="1"/>
        <rFont val="Calibri"/>
        <family val="2"/>
        <scheme val="minor"/>
      </rPr>
      <t xml:space="preserve"> </t>
    </r>
    <r>
      <rPr>
        <b/>
        <sz val="11"/>
        <rFont val="Calibri"/>
        <family val="2"/>
        <scheme val="minor"/>
      </rPr>
      <t>10'</t>
    </r>
    <r>
      <rPr>
        <sz val="11"/>
        <color theme="1"/>
        <rFont val="Calibri"/>
        <family val="2"/>
        <scheme val="minor"/>
      </rPr>
      <t xml:space="preserve"> </t>
    </r>
    <r>
      <rPr>
        <sz val="11"/>
        <color indexed="8"/>
        <rFont val="Calibri"/>
        <family val="2"/>
        <scheme val="minor"/>
      </rPr>
      <t>with</t>
    </r>
    <r>
      <rPr>
        <sz val="11"/>
        <color theme="1"/>
        <rFont val="Calibri"/>
        <family val="2"/>
        <scheme val="minor"/>
      </rPr>
      <t xml:space="preserve"> </t>
    </r>
    <r>
      <rPr>
        <b/>
        <sz val="11"/>
        <rFont val="Calibri"/>
        <family val="2"/>
        <scheme val="minor"/>
      </rPr>
      <t>6</t>
    </r>
    <r>
      <rPr>
        <sz val="11"/>
        <color theme="1"/>
        <rFont val="Calibri"/>
        <family val="2"/>
        <scheme val="minor"/>
      </rPr>
      <t xml:space="preserve"> </t>
    </r>
    <r>
      <rPr>
        <sz val="11"/>
        <color indexed="8"/>
        <rFont val="Calibri"/>
        <family val="2"/>
        <scheme val="minor"/>
      </rPr>
      <t>Rails</t>
    </r>
    <r>
      <rPr>
        <sz val="11"/>
        <color theme="1"/>
        <rFont val="Calibri"/>
        <family val="2"/>
        <scheme val="minor"/>
      </rPr>
      <t xml:space="preserve"> </t>
    </r>
    <r>
      <rPr>
        <b/>
        <sz val="11"/>
        <rFont val="Calibri"/>
        <family val="2"/>
        <scheme val="minor"/>
      </rPr>
      <t xml:space="preserve">1.5" </t>
    </r>
    <r>
      <rPr>
        <sz val="11"/>
        <color indexed="8"/>
        <rFont val="Calibri"/>
        <family val="2"/>
        <scheme val="minor"/>
      </rPr>
      <t>square tubing</t>
    </r>
  </si>
  <si>
    <r>
      <t xml:space="preserve">Y-Tex: Ultra Tagger </t>
    </r>
    <r>
      <rPr>
        <sz val="11"/>
        <color indexed="63"/>
        <rFont val="Calibri"/>
        <family val="2"/>
        <scheme val="minor"/>
      </rPr>
      <t>  </t>
    </r>
  </si>
  <si>
    <t>$ per mile</t>
  </si>
  <si>
    <t>Refrigerated storage container rental (prior to shipping)</t>
  </si>
  <si>
    <t>Carcass Grinding/Crushing (operational cost)</t>
  </si>
  <si>
    <t>$</t>
  </si>
  <si>
    <t>$ per sq ft</t>
  </si>
  <si>
    <t>sq ft per day</t>
  </si>
  <si>
    <t>$ per sq ft per unit</t>
  </si>
  <si>
    <t>sq ft per unit per day</t>
  </si>
  <si>
    <t>This module evaluates the decontamination cost for the feedlot/farm/ranch facilities and associated soil disinfection.</t>
  </si>
  <si>
    <t>This module does not consider decontamination for the various disposal options, which is covered explicitly in the costing for those methods.</t>
  </si>
  <si>
    <t>Rendering Disposal Service Fees</t>
  </si>
  <si>
    <t>Rendering Processing Rate</t>
  </si>
  <si>
    <t>Euthanasia Operator</t>
  </si>
  <si>
    <t>Euthanasia Crew Members</t>
  </si>
  <si>
    <t>Livestock Weights</t>
  </si>
  <si>
    <t>pounds per animal</t>
  </si>
  <si>
    <t>Indoor decon rate</t>
  </si>
  <si>
    <t>Equipment treatment rate and cost (e.g., decon trucks, trailer, panels, etc.)</t>
  </si>
  <si>
    <t>Spray Carcass (Note 5)</t>
  </si>
  <si>
    <t>Indoor decon for Rendering Plant (operational cost)</t>
  </si>
  <si>
    <t>Feedlot 1</t>
  </si>
  <si>
    <t>Number of swine infected</t>
  </si>
  <si>
    <t>Number of cattle infected</t>
  </si>
  <si>
    <t>Number of sheep infected</t>
  </si>
  <si>
    <t>Number of goats infected</t>
  </si>
  <si>
    <t>Total livestock infected</t>
  </si>
  <si>
    <t>Driving distance to rendering facility</t>
  </si>
  <si>
    <t>Driving distance to incineration facility</t>
  </si>
  <si>
    <t>miles</t>
  </si>
  <si>
    <t>Area available for on-site composting</t>
  </si>
  <si>
    <t>Area available for on-site burial</t>
  </si>
  <si>
    <t>acres</t>
  </si>
  <si>
    <t>Feedlot 2</t>
  </si>
  <si>
    <t>Feedlot 3</t>
  </si>
  <si>
    <t>This worksheet is intended to be a summary of information that would be supplied by the GIS parameter inputs for the purpose of testing the mathematics that have gone into defining the various modules of the the AgSec tool.</t>
  </si>
  <si>
    <t>The intent is for the user to input hypothetical values into these input fields, which in turn are used by other worksheets to perform calculations.</t>
  </si>
  <si>
    <t>Totals for Buffer Zone</t>
  </si>
  <si>
    <t>Totals for Infected Zone</t>
  </si>
  <si>
    <t>Feedlot 4</t>
  </si>
  <si>
    <t>The following inputs come from the main Vaccination tab in the AgSec module</t>
  </si>
  <si>
    <t>Number of vaccination teams available [Integer input field]</t>
  </si>
  <si>
    <t>The data from the Advanced Settings tab, the main Vaccination tab, and the GIS inputs are used to calculate costs and time.</t>
  </si>
  <si>
    <t>The following calculations are provided in order to define the mathematicatics needed for the cost and time estimates, and as a means of checking logic.</t>
  </si>
  <si>
    <t>Amount of time to vaccinate cattle in Buffer Zone</t>
  </si>
  <si>
    <t>Amount of time to vaccinate swine in Buffer Zone</t>
  </si>
  <si>
    <t>Amount of time to vaccinate sheep in Buffer Zone</t>
  </si>
  <si>
    <t>Amount of time to vaccinate goats in Buffer Zone</t>
  </si>
  <si>
    <t>Amount of time to vaccinate cattle in Infected Zone</t>
  </si>
  <si>
    <t>Amount of time to vaccinate swine in Infected Zone</t>
  </si>
  <si>
    <t>Amount of time to vaccinate sheep in Infected Zone</t>
  </si>
  <si>
    <t>Amount of time to vaccinate goats in Infected Zone</t>
  </si>
  <si>
    <t>Amount of time to vaccinate cattle in Vaccination Zone</t>
  </si>
  <si>
    <t>Amount of time to vaccinate swine in Vaccination Zone</t>
  </si>
  <si>
    <t>Amount of time to vaccinate sheep in Vaccination Zone</t>
  </si>
  <si>
    <t>Amount of time to vaccinate goats in Vaccination Zone</t>
  </si>
  <si>
    <t>Total amount of time to vaccinate cattle</t>
  </si>
  <si>
    <t xml:space="preserve">Total amount of time to vaccinate swine </t>
  </si>
  <si>
    <t xml:space="preserve">Total amount of time to vaccinate sheep </t>
  </si>
  <si>
    <t xml:space="preserve">Total amount of time to vaccinate goats </t>
  </si>
  <si>
    <t>days</t>
  </si>
  <si>
    <t>$ per day per team</t>
  </si>
  <si>
    <t>Total Cost of PPE per team and number of feedlots</t>
  </si>
  <si>
    <t>Total cost of personnel to vaccinate cattle</t>
  </si>
  <si>
    <t>Cost of personnel to vaccinate cattle in Infected Zone</t>
  </si>
  <si>
    <t>Cost of personnel to vaccinate swine in Infected Zone</t>
  </si>
  <si>
    <t>Cost of personnel to vaccinate sheep in Infected Zone</t>
  </si>
  <si>
    <t>Total cost of personnel to vaccinate all livestock</t>
  </si>
  <si>
    <t>Total amount of time to vaccinate all livestock</t>
  </si>
  <si>
    <t>Operational cost to vaccinate cattle in Infected Zone</t>
  </si>
  <si>
    <t>Cost of personnel to vaccinate cattle in Buffer Zone</t>
  </si>
  <si>
    <t>Cost of personnel to vaccinate swine in Buffer Zone</t>
  </si>
  <si>
    <t>Cost of personnel to vaccinate sheep in Buffer Zone</t>
  </si>
  <si>
    <t>Cost of personnel to vaccinate cattle in Vaccination Zone</t>
  </si>
  <si>
    <t>Cost of personnel to vaccinate swine in Vaccination Zone</t>
  </si>
  <si>
    <t>Cost of personnel to vaccinate sheep in Vaccination Zone</t>
  </si>
  <si>
    <t>Operational cost to vaccinate swine in Infected Zone</t>
  </si>
  <si>
    <t>Operational cost to vaccinate sheep in Infected Zone</t>
  </si>
  <si>
    <t>Operational cost to vaccinate goats in Infected Zone</t>
  </si>
  <si>
    <t>Operational cost to vaccinate cattle in Buffer Zone</t>
  </si>
  <si>
    <t>Operational cost to vaccinate swine in Buffer Zone</t>
  </si>
  <si>
    <t>Operational cost to vaccinate sheep in Buffer Zone</t>
  </si>
  <si>
    <t>Operational cost to vaccinate goats in Buffer Zone</t>
  </si>
  <si>
    <t>Operational cost to vaccinate cattle in Vaccination Zone</t>
  </si>
  <si>
    <t>Operational cost to vaccinate swine in Vaccination Zone</t>
  </si>
  <si>
    <t>Operational cost to vaccinate sheep in Vaccination Zone</t>
  </si>
  <si>
    <t>Operational cost to vaccinate goats in Vaccination Zone</t>
  </si>
  <si>
    <t xml:space="preserve">Total cost of personnel to vaccinate swine </t>
  </si>
  <si>
    <t xml:space="preserve">Total cost of personnel to vaccinate sheep </t>
  </si>
  <si>
    <t xml:space="preserve">Total cost of personnel to vaccinate goats </t>
  </si>
  <si>
    <t>Cost of personnel to vaccinate goats in Buffer Zone</t>
  </si>
  <si>
    <t>Cost of personnel to vaccinate goats in Vaccination Zone</t>
  </si>
  <si>
    <t>Cost of personnel to vaccinate goats in Infected Zone</t>
  </si>
  <si>
    <t>Total number of feedlots</t>
  </si>
  <si>
    <t>Totals for Vaccination Zone</t>
  </si>
  <si>
    <t>Note: operational costs include PPE (new PPE for each day and each new feedlot per person), equipment per team, costs per animal, decon per feedlot)</t>
  </si>
  <si>
    <t>Decon</t>
  </si>
  <si>
    <t xml:space="preserve">Total operational cost to vaccinate cattle </t>
  </si>
  <si>
    <t>Total operational cost to vaccinate all livestock</t>
  </si>
  <si>
    <t>Vaccination Supplies</t>
  </si>
  <si>
    <t>Summary</t>
  </si>
  <si>
    <t>Personnel Cost</t>
  </si>
  <si>
    <t>Equipment &amp; Rentals</t>
  </si>
  <si>
    <t>PPE Supplies</t>
  </si>
  <si>
    <t>Total decontamination cost per team per decon event</t>
  </si>
  <si>
    <t>Total operational cost to vaccinate swine</t>
  </si>
  <si>
    <t>Total operational cost to vaccinate sheep</t>
  </si>
  <si>
    <t>Total operational cost to vaccinate goats</t>
  </si>
  <si>
    <t>Operational Cost</t>
  </si>
  <si>
    <t>Number of depopulation teams available [Integer input field]</t>
  </si>
  <si>
    <t>Number of livestock that can be dispatched by each team in a day [Integer input field]</t>
  </si>
  <si>
    <t>Number of livestock that can be vaccinated by each team in a day [Integer input field]</t>
  </si>
  <si>
    <t>The data from the Advanced Settings tab, the main Depopulation tab, and the GIS inputs are used to calculate costs and time.</t>
  </si>
  <si>
    <t>Amount of time to depopulate cattle in Infected Zone</t>
  </si>
  <si>
    <t>Amount of time to depopulate swine in Infected Zone</t>
  </si>
  <si>
    <t>Amount of time to depopulate sheep in Infected Zone</t>
  </si>
  <si>
    <t>Amount of time to depopulate goats in Infected Zone</t>
  </si>
  <si>
    <t>Amount of time to depopulate cattle in Buffer Zone</t>
  </si>
  <si>
    <t>Amount of time to depopulate swine in Buffer Zone</t>
  </si>
  <si>
    <t>Amount of time to depopulate sheep in Buffer Zone</t>
  </si>
  <si>
    <t>Amount of time to depopulate goats in Buffer Zone</t>
  </si>
  <si>
    <t>Cost of personnel to depopulate cattle in Infected Zone</t>
  </si>
  <si>
    <t>Cost of personnel to depopulate swine in Infected Zone</t>
  </si>
  <si>
    <t>Cost of personnel to depopulate sheep in Infected Zone</t>
  </si>
  <si>
    <t>Cost of personnel to depopulate goats in Infected Zone</t>
  </si>
  <si>
    <t>Cost of personnel to depopulate cattle in Buffer Zone</t>
  </si>
  <si>
    <t>Cost of personnel to depopulate swine in Buffer Zone</t>
  </si>
  <si>
    <t>Cost of personnel to depopulate sheep in Buffer Zone</t>
  </si>
  <si>
    <t>Cost of personnel to depopulate goats in Buffer Zone</t>
  </si>
  <si>
    <t>Depopulation Supplies</t>
  </si>
  <si>
    <t>Operational cost to depopulate cattle in Infected Zone</t>
  </si>
  <si>
    <t>Operational cost to depopulate swine in Infected Zone</t>
  </si>
  <si>
    <t>Operational cost to depopulate sheep in Infected Zone</t>
  </si>
  <si>
    <t>Operational cost to depopulate goats in Infected Zone</t>
  </si>
  <si>
    <t>Operational cost to depopulate cattle in Buffer Zone</t>
  </si>
  <si>
    <t>Operational cost to depopulate swine in Buffer Zone</t>
  </si>
  <si>
    <t>Operational cost to depopulate sheep in Buffer Zone</t>
  </si>
  <si>
    <t>Operational cost to depopulate goats in Buffer Zone</t>
  </si>
  <si>
    <t xml:space="preserve">Total operational cost to depopulate cattle </t>
  </si>
  <si>
    <t>Total operational cost to depopulate swine</t>
  </si>
  <si>
    <t>Total operational cost to depopulate sheep</t>
  </si>
  <si>
    <t>Total operational cost to depopulate goats</t>
  </si>
  <si>
    <t>The following inputs come from the main Depopulation tab in the AgSec module</t>
  </si>
  <si>
    <t>Total operational cost to depopulate all livestock</t>
  </si>
  <si>
    <t>Total cost of personnel to depopulate cattle</t>
  </si>
  <si>
    <t xml:space="preserve">Total cost of personnel to depopulate swine </t>
  </si>
  <si>
    <t xml:space="preserve">Total cost of personnel to depopulate sheep </t>
  </si>
  <si>
    <t xml:space="preserve">Total cost of personnel to depopulate goats </t>
  </si>
  <si>
    <t>Total cost of personnel to depopulate all livestock</t>
  </si>
  <si>
    <t>Total amount of time to depopulate cattle</t>
  </si>
  <si>
    <t xml:space="preserve">Total amount of time to depopulate swine </t>
  </si>
  <si>
    <t xml:space="preserve">Total amount of time to depopulate sheep </t>
  </si>
  <si>
    <t xml:space="preserve">Total amount of time to depopulate goats </t>
  </si>
  <si>
    <t>Total amount of time to depopulate all livestock</t>
  </si>
  <si>
    <t>Cost to depopulate cattle in Infected Zone</t>
  </si>
  <si>
    <t>Cost to depopulate swine in Infected Zone</t>
  </si>
  <si>
    <t>Cost to depopulate sheep in Infected Zone</t>
  </si>
  <si>
    <t>Cost to depopulate goats in Infected Zone</t>
  </si>
  <si>
    <t>Cost to depopulate cattle in Buffer Zone</t>
  </si>
  <si>
    <t>Cost to depopulate swine in Buffer Zone</t>
  </si>
  <si>
    <t>Cost to depopulate sheep in Buffer Zone</t>
  </si>
  <si>
    <t>Cost to depopulate goats in Buffer Zone</t>
  </si>
  <si>
    <t>Cost to depopulate cattle in all zones</t>
  </si>
  <si>
    <t>Cost to depopulate swine in all zones</t>
  </si>
  <si>
    <t>Cost to depopulate sheep in all zones</t>
  </si>
  <si>
    <t>Cost to depopulate goats in all zones</t>
  </si>
  <si>
    <t>Cost to vaccinate cattle in Infected Zone</t>
  </si>
  <si>
    <t>Cost to vaccinate swine in Infected Zone</t>
  </si>
  <si>
    <t>Cost to vaccinate sheep in Infected Zone</t>
  </si>
  <si>
    <t>Cost to vaccinate goats in Infected Zone</t>
  </si>
  <si>
    <t>Cost to vaccinate cattle in Buffer Zone</t>
  </si>
  <si>
    <t>Cost to vaccinate swine in Buffer Zone</t>
  </si>
  <si>
    <t>Cost to vaccinate sheep in Buffer Zone</t>
  </si>
  <si>
    <t>Cost to vaccinate goats in Buffer Zone</t>
  </si>
  <si>
    <t>Cost to vaccinate cattle in Vaccination Zone</t>
  </si>
  <si>
    <t>Cost to vaccinate swine in Vaccination Zone</t>
  </si>
  <si>
    <t>Cost to vaccinate sheep in Vaccination Zone</t>
  </si>
  <si>
    <t>Cost to vaccinate goats in Vaccination Zone</t>
  </si>
  <si>
    <t>Total costs for depopulation of all livestock</t>
  </si>
  <si>
    <t>Cost to vaccinate cattle in all zones</t>
  </si>
  <si>
    <t>Cost to vaccinate swine in all zones</t>
  </si>
  <si>
    <t>Cost to vaccinate sheep in all zones</t>
  </si>
  <si>
    <t>Cost to vaccinate goats in all zones</t>
  </si>
  <si>
    <t>Total costs for vaccination of all livestock</t>
  </si>
  <si>
    <t>Method to dispatch livestock: 1 = Penetrating Captive Bolt Method; 2 = Gunshot Method; 3 = Injection Method; 4 = Gas Asphyxiation</t>
  </si>
  <si>
    <t>Number of rendering teams available [Integer input field]</t>
  </si>
  <si>
    <t>Number of livestock that can be processed for shipment by each team in a day [Integer input field]</t>
  </si>
  <si>
    <t>Preparation</t>
  </si>
  <si>
    <t>Amount of time to render cattle in Infected Zone</t>
  </si>
  <si>
    <t>Amount of time to render swine in Infected Zone</t>
  </si>
  <si>
    <t>Amount of time to render goats in Infected Zone</t>
  </si>
  <si>
    <t>Amount of time to render sheep in Infected Zone</t>
  </si>
  <si>
    <t>Amount of time to render cattle in Buffer Zone</t>
  </si>
  <si>
    <t>Amount of time to render swine in Buffer Zone</t>
  </si>
  <si>
    <t>Amount of time to render sheep in Buffer Zone</t>
  </si>
  <si>
    <t>Amount of time to render goats in Buffer Zone</t>
  </si>
  <si>
    <t>Total amount of time to render cattle</t>
  </si>
  <si>
    <t xml:space="preserve">Total amount of time to render swine </t>
  </si>
  <si>
    <t xml:space="preserve">Total amount of time to render sheep </t>
  </si>
  <si>
    <t xml:space="preserve">Total amount of time to render goats </t>
  </si>
  <si>
    <t>Total amount of time to render all livestock</t>
  </si>
  <si>
    <t>Rendering rate</t>
  </si>
  <si>
    <t>Cost of personnel to render cattle in Infected Zone</t>
  </si>
  <si>
    <t>Cost of personnel to render swine in Infected Zone</t>
  </si>
  <si>
    <t>Cost of personnel to render sheep in Infected Zone</t>
  </si>
  <si>
    <t>Cost of personnel to render goats in Infected Zone</t>
  </si>
  <si>
    <t>Cost of personnel to render cattle in Buffer Zone</t>
  </si>
  <si>
    <t>Cost of personnel to render swine in Buffer Zone</t>
  </si>
  <si>
    <t>Cost of personnel to render sheep in Buffer Zone</t>
  </si>
  <si>
    <t>Cost of personnel to render goats in Buffer Zone</t>
  </si>
  <si>
    <t>Total cost of personnel to render cattle</t>
  </si>
  <si>
    <t xml:space="preserve">Total cost of personnel to render swine </t>
  </si>
  <si>
    <t xml:space="preserve">Total cost of personnel to render sheep </t>
  </si>
  <si>
    <t xml:space="preserve">Total cost of personnel to render goats </t>
  </si>
  <si>
    <t>Total cost of personnel to render all livestock</t>
  </si>
  <si>
    <t>Operational cost to render cattle in Infected Zone</t>
  </si>
  <si>
    <t>Operational cost to render swine in Infected Zone</t>
  </si>
  <si>
    <t>Operational cost to render sheep in Infected Zone</t>
  </si>
  <si>
    <t>Operational cost to render sheep in Buffer Zone</t>
  </si>
  <si>
    <t>Operational cost to render goats in Infected Zone</t>
  </si>
  <si>
    <t>Operational cost to render swine in Buffer Zone</t>
  </si>
  <si>
    <t>Operational cost to render cattle in Buffer Zone</t>
  </si>
  <si>
    <t>Operational cost to render goats in Buffer Zone</t>
  </si>
  <si>
    <t xml:space="preserve">Total operational cost to render cattle </t>
  </si>
  <si>
    <t>Total operational cost to render swine</t>
  </si>
  <si>
    <t>Total operational cost to render sheep</t>
  </si>
  <si>
    <t>Total operational cost to render goats</t>
  </si>
  <si>
    <t>Total operational cost to render all livestock</t>
  </si>
  <si>
    <t>Preparation Supplies</t>
  </si>
  <si>
    <t>Supplies (Expendables)</t>
  </si>
  <si>
    <t>Pre-fabricated steel building</t>
  </si>
  <si>
    <t>http://www.business.com/guides/pricing-and-costs-of-prefabricated-buildings-22616/</t>
  </si>
  <si>
    <t>$16-$40 a square foot, assume 2,000 sq ft building</t>
  </si>
  <si>
    <t>Pre-fab building for grinder/crusher operation</t>
  </si>
  <si>
    <t>Refrigerated trailer storage</t>
  </si>
  <si>
    <t>http://www.ryder.com/en/truck-rental/rentalitems/refrigerated-trailer.aspx</t>
  </si>
  <si>
    <t>Refrigerated 48 foot trailer, weekly rate $513</t>
  </si>
  <si>
    <t>http://www.fairtran.com/Rates.aspx</t>
  </si>
  <si>
    <t>Shipping/transportation cost: van short haul (SH) = $2.45 per mile; van long haul (LH) = $1.79; flatbed SH = $2.75; flatbed LH = $2.00; reefer SH = $2.94; reefer LH = $2.18</t>
  </si>
  <si>
    <t>Shipping/transportation rate</t>
  </si>
  <si>
    <t>Rendering plant area to decon</t>
  </si>
  <si>
    <t>Darling International rendering facility in Kansas City, KS has a primary building with a 6,000 sq ft foot print</t>
  </si>
  <si>
    <t>measured from Google maps</t>
  </si>
  <si>
    <t>Rendering building size</t>
  </si>
  <si>
    <t>Number of trucks</t>
  </si>
  <si>
    <t>Tonnage of livestock per truck</t>
  </si>
  <si>
    <t>Cost to render cattle in Infected Zone</t>
  </si>
  <si>
    <t>Cost to render swine in Infected Zone</t>
  </si>
  <si>
    <t>Cost to render sheep in Infected Zone</t>
  </si>
  <si>
    <t>Cost to render goats in Infected Zone</t>
  </si>
  <si>
    <t>Cost to render cattle in Buffer Zone</t>
  </si>
  <si>
    <t>Cost to render swine in Buffer Zone</t>
  </si>
  <si>
    <t>Cost to render sheep in Buffer Zone</t>
  </si>
  <si>
    <t>Cost to render goats in Buffer Zone</t>
  </si>
  <si>
    <t>Cost to render cattle in all zones</t>
  </si>
  <si>
    <t>Cost to render swine in all zones</t>
  </si>
  <si>
    <t>Cost to render sheep in all zones</t>
  </si>
  <si>
    <t>Cost to render goats in all zones</t>
  </si>
  <si>
    <t>tons per hour</t>
  </si>
  <si>
    <t>$ per feedlot</t>
  </si>
  <si>
    <t>This module assumes that composting will be done on-site where livestock originated, so no transportation costs are needed (e.g., hauling).</t>
  </si>
  <si>
    <t>Assumptions associated with windrow construction and capacity</t>
  </si>
  <si>
    <t xml:space="preserve">Outdoor windrows are assumed to be 15 feet wide by 200 feet long and 5 to 7 feet tall.  </t>
  </si>
  <si>
    <t>For cattle, two carcasses can be laid side-by-side along the width, for a total of 65 carcasses to a windrow.</t>
  </si>
  <si>
    <t>It is assumed that some space will be needed between each successive windrow in order to turn the compost.  Assume the same area as the windrow, 3,000 square feet.</t>
  </si>
  <si>
    <t>Therefore, for each 6,000 square feet of space there will be 65 cattle carcasses composted.</t>
  </si>
  <si>
    <t>Literature suggests that building concrete carcass bins for composting for large numbers of carcasses is too cost prohibitive.</t>
  </si>
  <si>
    <t>Literature suggests that fencing might be required around the perimeter of the windrows to keep animals out.</t>
  </si>
  <si>
    <t>Sampling</t>
  </si>
  <si>
    <t>This module does NOT address any sampling and laboratory analysis associated with testing livestock.</t>
  </si>
  <si>
    <t>This module evaluates the sampling and laboratory analysis requirements to show that the decontamination procedures were effective (i.e., clearance sampling).</t>
  </si>
  <si>
    <t>This module evaluates the option of hauling carcassses to a permitted landfill.</t>
  </si>
  <si>
    <t>The GIS module and the database will have locations of permitted landfills so the user will be able to estimate travel distances for hauling carcasses.</t>
  </si>
  <si>
    <t>Transportation of livestock is factored explicitly in this module, based on distances supplied through the GIS interface.  The GIS and the database have explicit locations of known fixed-site incinerators.</t>
  </si>
  <si>
    <t>Transportation of livestock is factored explicitly in this module, based on distances supplied through the GIS interface.  The GIS and the database have explicit locations of known rendering facilities.</t>
  </si>
  <si>
    <t>Given the weight differences between cattle and other livestock, it is assumed that a simple ratio of the weight difference should translate roughly into the number of other livestock that can be processed in a 3,000 square foot windrow:</t>
  </si>
  <si>
    <t xml:space="preserve">   - swine = 130 carcasses</t>
  </si>
  <si>
    <t>The footprint per windrow is then 3,000 square feet.  Plastic sheeting would be needed to cover the ground throughout this 3,000 square feet.</t>
  </si>
  <si>
    <t xml:space="preserve">   - sheep = 390 carcasses</t>
  </si>
  <si>
    <t xml:space="preserve">   - goats = 490 carcasses</t>
  </si>
  <si>
    <t>The carbon source material for composting (e.g., sawdust) is estimated at 0.0067 yd^3 per pound of dead animal, and $20/ton for the material.  Therefore, it is estimated that 260 yd^3 of carbon source is needed for each windrow.</t>
  </si>
  <si>
    <t>Total Supplies per windrow</t>
  </si>
  <si>
    <t>Number of composting teams available [Integer input field]</t>
  </si>
  <si>
    <t>The data from the Advanced Settings tab, the main Composting tab, and the GIS inputs are used to calculate costs and time.</t>
  </si>
  <si>
    <t>The following inputs come from the main Composting tab in the AgSec module</t>
  </si>
  <si>
    <t>The data from the Advanced Settings tab, the main Rendering tab, and the GIS inputs are used to calculate costs and time.</t>
  </si>
  <si>
    <t>The following inputs come from the main Rendering tab in the AgSec module</t>
  </si>
  <si>
    <t>Number of incineration teams available [Integer input field]</t>
  </si>
  <si>
    <t>Incineration</t>
  </si>
  <si>
    <t>The data from the Advanced Settings tab, the main Off-site Incineration tab, and the GIS inputs are used to calculate costs and time.</t>
  </si>
  <si>
    <t>The following inputs come from the main Off-site Incineration tab in the AgSec module</t>
  </si>
  <si>
    <t>Amount of time to incinerate cattle in Infected Zone</t>
  </si>
  <si>
    <t>Amount of time to incinerate swine in Infected Zone</t>
  </si>
  <si>
    <t>Amount of time to incinerate sheep in Infected Zone</t>
  </si>
  <si>
    <t>Amount of time to incinerate goats in Infected Zone</t>
  </si>
  <si>
    <t>Amount of time to incinerate cattle in Buffer Zone</t>
  </si>
  <si>
    <t>Amount of time to incinerate swine in Buffer Zone</t>
  </si>
  <si>
    <t>Amount of time to incinerate sheep in Buffer Zone</t>
  </si>
  <si>
    <t>Amount of time to incinerate goats in Buffer Zone</t>
  </si>
  <si>
    <t>Total amount of time to incinerate cattle</t>
  </si>
  <si>
    <t xml:space="preserve">Total amount of time to incinerate swine </t>
  </si>
  <si>
    <t xml:space="preserve">Total amount of time to incinerate sheep </t>
  </si>
  <si>
    <t xml:space="preserve">Total amount of time to incinerate goats </t>
  </si>
  <si>
    <t>Cost of personnel to incinerate cattle in Infected Zone</t>
  </si>
  <si>
    <t>Cost of personnel to incinerate swine in Infected Zone</t>
  </si>
  <si>
    <t>Cost of personnel to incinerate sheep in Infected Zone</t>
  </si>
  <si>
    <t>Cost of personnel to incinerate goats in Infected Zone</t>
  </si>
  <si>
    <t>Cost of personnel to incinerate cattle in Buffer Zone</t>
  </si>
  <si>
    <t>Cost of personnel to incinerate swine in Buffer Zone</t>
  </si>
  <si>
    <t>Cost of personnel to incinerate sheep in Buffer Zone</t>
  </si>
  <si>
    <t>Cost of personnel to incinerate goats in Buffer Zone</t>
  </si>
  <si>
    <t>Total cost of personnel to incinerate cattle</t>
  </si>
  <si>
    <t xml:space="preserve">Total cost of personnel to incinerate swine </t>
  </si>
  <si>
    <t xml:space="preserve">Total cost of personnel to incinerate sheep </t>
  </si>
  <si>
    <t xml:space="preserve">Total cost of personnel to incinerate goats </t>
  </si>
  <si>
    <t>Operational cost to incinerate cattle in Infected Zone</t>
  </si>
  <si>
    <t>Operational cost to incinerate swine in Infected Zone</t>
  </si>
  <si>
    <t>Operational cost to incinerate sheep in Infected Zone</t>
  </si>
  <si>
    <t>Operational cost to incinerate goats in Infected Zone</t>
  </si>
  <si>
    <t>Operational cost to incinerate cattle in Buffer Zone</t>
  </si>
  <si>
    <t>Operational cost to incinerate swine in Buffer Zone</t>
  </si>
  <si>
    <t>Operational cost to incinerate sheep in Buffer Zone</t>
  </si>
  <si>
    <t>Operational cost to incinerate goats in Buffer Zone</t>
  </si>
  <si>
    <t xml:space="preserve">Total operational cost to incinerate cattle </t>
  </si>
  <si>
    <t>Total operational cost to incinerate swine</t>
  </si>
  <si>
    <t>Total operational cost to incinerate sheep</t>
  </si>
  <si>
    <t>Total operational cost to incinerate goats</t>
  </si>
  <si>
    <t>Cost to incinerate cattle in Infected Zone</t>
  </si>
  <si>
    <t>Cost to incinerate swine in Infected Zone</t>
  </si>
  <si>
    <t>Cost to incinerate sheep in Infected Zone</t>
  </si>
  <si>
    <t>Cost to incinerate goats in Infected Zone</t>
  </si>
  <si>
    <t>Cost to incinerate cattle in Buffer Zone</t>
  </si>
  <si>
    <t>Cost to incinerate swine in Buffer Zone</t>
  </si>
  <si>
    <t>Cost to incinerate sheep in Buffer Zone</t>
  </si>
  <si>
    <t>Cost to incinerate goats in Buffer Zone</t>
  </si>
  <si>
    <t>Cost to incinerate cattle in all zones</t>
  </si>
  <si>
    <t>Cost to incinerate swine in all zones</t>
  </si>
  <si>
    <t>Cost to incinerate sheep in all zones</t>
  </si>
  <si>
    <t>Cost to incinerate goats in all zones</t>
  </si>
  <si>
    <t>The following inputs come from the main On-site Incineration tab in the AgSec module</t>
  </si>
  <si>
    <t>The data from the Advanced Settings tab, the main On-site Incineration tab, and the GIS inputs are used to calculate costs and time.</t>
  </si>
  <si>
    <t>Parameters to be used to calculate costs and time, combined with data from the On-site Incineration tab of the AgSec module</t>
  </si>
  <si>
    <t>Parameters to be used to calculate costs and time, combined with data from the Off-site Incineration tab of the AgSec module</t>
  </si>
  <si>
    <t>Total amount of time to incinerate all livestock</t>
  </si>
  <si>
    <t>Total cost of personnel to incinerate all livestock</t>
  </si>
  <si>
    <t>Total operational cost to incinerate all livestock</t>
  </si>
  <si>
    <t>Incineration Disposal Service Fees</t>
  </si>
  <si>
    <t>Incineration rate</t>
  </si>
  <si>
    <t>Incineration Processing Rate</t>
  </si>
  <si>
    <t>Indoor decon for Incineration Plant (operational cost)</t>
  </si>
  <si>
    <t>Incineration plant area to decon</t>
  </si>
  <si>
    <t>Incineration Operating Inputs</t>
  </si>
  <si>
    <t>Incinerator operating cost</t>
  </si>
  <si>
    <t>Air-curtain incinerator</t>
  </si>
  <si>
    <t>Incineration Operations Inputs</t>
  </si>
  <si>
    <t>Parameters to be used to calculate costs and time, combined with data from the Composting tab of the AgSec module</t>
  </si>
  <si>
    <t>Logic for this module is taken largely from the original PATH/AWARE decontamination and waste disposal modules.</t>
  </si>
  <si>
    <t>Logic for this module is taken largely from the original PATH/AWARE sampling and clearance modules.</t>
  </si>
  <si>
    <t>This module is intended to evaluate the potential use of some more innovative mobile treatment technologies.</t>
  </si>
  <si>
    <t>Typically these methods do not provide an option to deal with large numbers of carcasses.</t>
  </si>
  <si>
    <t>Amount of time to compost cattle in Infected Zone</t>
  </si>
  <si>
    <t>Amount of time to compost swine in Infected Zone</t>
  </si>
  <si>
    <t>Amount of time to compost sheep in Infected Zone</t>
  </si>
  <si>
    <t>Amount of time to compost goats in Infected Zone</t>
  </si>
  <si>
    <t>Amount of time to compost cattle in Buffer Zone</t>
  </si>
  <si>
    <t>Amount of time to compost swine in Buffer Zone</t>
  </si>
  <si>
    <t>Amount of time to compost sheep in Buffer Zone</t>
  </si>
  <si>
    <t>Amount of time to compost goats in Buffer Zone</t>
  </si>
  <si>
    <t>Total amount of time to compost cattle</t>
  </si>
  <si>
    <t xml:space="preserve">Total amount of time to compost swine </t>
  </si>
  <si>
    <t xml:space="preserve">Total amount of time to compost sheep </t>
  </si>
  <si>
    <t xml:space="preserve">Total amount of time to compost goats </t>
  </si>
  <si>
    <t>Total amount of time to compost all livestock</t>
  </si>
  <si>
    <t>Cost of personnel to compost cattle in Infected Zone</t>
  </si>
  <si>
    <t>Cost of personnel to compost swine in Infected Zone</t>
  </si>
  <si>
    <t>Cost of personnel to compost sheep in Infected Zone</t>
  </si>
  <si>
    <t>Cost of personnel to compost goats in Infected Zone</t>
  </si>
  <si>
    <t>Cost of personnel to compost cattle in Buffer Zone</t>
  </si>
  <si>
    <t>Cost of personnel to compost swine in Buffer Zone</t>
  </si>
  <si>
    <t>Cost of personnel to compost sheep in Buffer Zone</t>
  </si>
  <si>
    <t>Cost of personnel to compost goats in Buffer Zone</t>
  </si>
  <si>
    <t>Total cost of personnel to compost cattle</t>
  </si>
  <si>
    <t xml:space="preserve">Total cost of personnel to compost swine </t>
  </si>
  <si>
    <t xml:space="preserve">Total cost of personnel to compost sheep </t>
  </si>
  <si>
    <t xml:space="preserve">Total cost of personnel to compost goats </t>
  </si>
  <si>
    <t>Total cost of personnel to compost all livestock</t>
  </si>
  <si>
    <t>Operational cost to compost cattle in Infected Zone</t>
  </si>
  <si>
    <t>Operational cost to compost swine in Infected Zone</t>
  </si>
  <si>
    <t>Operational cost to compost sheep in Infected Zone</t>
  </si>
  <si>
    <t>Operational cost to compost goats in Infected Zone</t>
  </si>
  <si>
    <t>Operational cost to compost cattle in Buffer Zone</t>
  </si>
  <si>
    <t>Operational cost to compost swine in Buffer Zone</t>
  </si>
  <si>
    <t>Operational cost to compost sheep in Buffer Zone</t>
  </si>
  <si>
    <t>Operational cost to compost goats in Buffer Zone</t>
  </si>
  <si>
    <t xml:space="preserve">Total operational cost to compost cattle </t>
  </si>
  <si>
    <t>Total operational cost to compost swine</t>
  </si>
  <si>
    <t>Total operational cost to compost sheep</t>
  </si>
  <si>
    <t>Total operational cost to compost goats</t>
  </si>
  <si>
    <t>Total operational cost to compost all livestock</t>
  </si>
  <si>
    <t>Cost to compost cattle in Infected Zone</t>
  </si>
  <si>
    <t>Cost to compost swine in Infected Zone</t>
  </si>
  <si>
    <t>Cost to compost sheep in Infected Zone</t>
  </si>
  <si>
    <t>Cost to compost goats in Infected Zone</t>
  </si>
  <si>
    <t>Cost to compost goats in Buffer Zone</t>
  </si>
  <si>
    <t>Cost to compost cattle in Buffer Zone</t>
  </si>
  <si>
    <t>Cost to compost swine in Buffer Zone</t>
  </si>
  <si>
    <t>Cost to compost sheep in Buffer Zone</t>
  </si>
  <si>
    <t>Cost to compost cattle in all zones</t>
  </si>
  <si>
    <t>Cost to compost swine in all zones</t>
  </si>
  <si>
    <t>Cost to compost sheep in all zones</t>
  </si>
  <si>
    <t>Cost to compost goats in all zones</t>
  </si>
  <si>
    <t>Rendering Plant Inputs</t>
  </si>
  <si>
    <t>There is a need to estimate how many livestock carcasses can be composted given a specified amount of acreage for the composting operations.</t>
  </si>
  <si>
    <t>Number of windrows needed for cattle in the infected zone</t>
  </si>
  <si>
    <t>Number of windrows needed for swine in the infected zone</t>
  </si>
  <si>
    <t>Number of windrows needed for sheep in the infected zone</t>
  </si>
  <si>
    <t>Number of windrows needed for goats in the infected zone</t>
  </si>
  <si>
    <t>Number of windrows needed for cattle in the buffer zone</t>
  </si>
  <si>
    <t>Number of windrows needed for swine in the buffer zone</t>
  </si>
  <si>
    <t>Number of windrows needed for sheep in the buffer zone</t>
  </si>
  <si>
    <t>Number of windrows needed for goats in the buffer zone</t>
  </si>
  <si>
    <t>Total number of windrows needed for cattle</t>
  </si>
  <si>
    <t xml:space="preserve">Total number of windrows needed for swine </t>
  </si>
  <si>
    <t>Total number of windrows needed for sheep</t>
  </si>
  <si>
    <t>Total number of windrows needed for goats</t>
  </si>
  <si>
    <t>Total number of windrows needed for all livestock</t>
  </si>
  <si>
    <t>Total acreage needed for all livestock</t>
  </si>
  <si>
    <t>Parameters to be used to calculate costs and time, combined with data from the Off-site Landfill Burial tab of the AgSec module</t>
  </si>
  <si>
    <t>The following inputs come from the main Off-site Landfill Burial tab in the AgSec module</t>
  </si>
  <si>
    <t>The data from the Advanced Settings tab, the main Off-site Landfill Burial tab, and the GIS inputs are used to calculate costs and time.</t>
  </si>
  <si>
    <t>Number of landfill teams available [Integer input field]</t>
  </si>
  <si>
    <t>Total amount of time to bury all livestock</t>
  </si>
  <si>
    <t>Total cost of personnel to bury all livestock</t>
  </si>
  <si>
    <t>Total operational cost to bury all livestock</t>
  </si>
  <si>
    <t>Total costs for incinerating all livestock</t>
  </si>
  <si>
    <t>Total costs for burying all livestock</t>
  </si>
  <si>
    <t>Total costs for rendering all livestock</t>
  </si>
  <si>
    <t>tons per windrow</t>
  </si>
  <si>
    <t>$ per windrow</t>
  </si>
  <si>
    <t>Fencing for perimeter of windrows</t>
  </si>
  <si>
    <t>Number of windrows that can be constructed by each team in a day [Integer input field]</t>
  </si>
  <si>
    <t>number of hours per day</t>
  </si>
  <si>
    <t>Plastic sheeting</t>
  </si>
  <si>
    <t>20' x 100' 6 mil reinforced plastic sheeting</t>
  </si>
  <si>
    <t>http://www.uline.com/Product/Detail/S-17865/Plastic-Sheeting/20-x-100-6-Mil-Reinforced-Poly-Sheeting?pricode=WU327&amp;gadtype=pla&amp;gclid=CPyu7eGb07YCFRManQoddwUA0w</t>
  </si>
  <si>
    <t>Plastic sheeting for bottom of each windrow</t>
  </si>
  <si>
    <t>50 lb bag of lime</t>
  </si>
  <si>
    <t>http://www.tractorsupply.com/en/store/lee-double-strength-hydrated-limereg%3B-50-lb</t>
  </si>
  <si>
    <t>Lime application on crops recommended loading rate of 2 tons per acre, so for one winrow it would be 275 lb per windrow, or 0.14 tons per windrow.</t>
  </si>
  <si>
    <t xml:space="preserve">Lime to Cover Carcasses </t>
  </si>
  <si>
    <t>$ per 50 lb</t>
  </si>
  <si>
    <t>lbs per windrow</t>
  </si>
  <si>
    <t>Composting Supplies</t>
  </si>
  <si>
    <t>sq ft per day per decon unit</t>
  </si>
  <si>
    <t>Landfill Burial Inputs</t>
  </si>
  <si>
    <t>Landfill burial processing rate</t>
  </si>
  <si>
    <t>Landfill burial disposal service fees</t>
  </si>
  <si>
    <t>Total Decon equipment per team</t>
  </si>
  <si>
    <t>Total Decon treatment per team per day</t>
  </si>
  <si>
    <t xml:space="preserve">Landfill burial rate </t>
  </si>
  <si>
    <t>Amount of time to dispose of cattle by off-site burial for Infected Zone</t>
  </si>
  <si>
    <t>Amount of time to dispose of goats by off-site burial for Infected Zone</t>
  </si>
  <si>
    <t>Amount of time to dispose of sheep by off-site burial for Infected Zone</t>
  </si>
  <si>
    <t>Amount of time to dispose of swine by off-site burial for Infected Zone</t>
  </si>
  <si>
    <t>Amount of time to dispose of cattle by off-site burial for Buffer Zone</t>
  </si>
  <si>
    <t>Amount of time to dispose of swine by off-site burial for Buffer Zone</t>
  </si>
  <si>
    <t>Amount of time to dispose of goats by off-site burial for Buffer Zone</t>
  </si>
  <si>
    <t>Amount of time to dispose of sheep by off-site burial for Buffer Zone</t>
  </si>
  <si>
    <t>Cost of personnel to dispose of cattle by off-site burial for Infected Zone</t>
  </si>
  <si>
    <t>Cost of personnel to dispose of swine by off-site burial for  Infected Zone</t>
  </si>
  <si>
    <t>Cost of personnel to dispose of sheep by off-site burial for Infected Zone</t>
  </si>
  <si>
    <t>Cost of personnel to dispose of goats by off-site burial for Infected Zone</t>
  </si>
  <si>
    <t>Cost of personnel to dispose of cattle by off-site burial for Buffer Zone</t>
  </si>
  <si>
    <t>Cost of personnel to dispose of swine by off-site burial for  Buffer Zone</t>
  </si>
  <si>
    <t>Cost of personnel to dispose of sheep by off-site burial for Buffer Zone</t>
  </si>
  <si>
    <t>Cost of personnel to dispose of goats by off-site burial for Buffer Zone</t>
  </si>
  <si>
    <t>Operational cost to dispose of cattle by off-site burial for Infected Zone</t>
  </si>
  <si>
    <t>Operational cost to dispose of swine by off-site burial for Infected Zone</t>
  </si>
  <si>
    <t>Operational cost to dispose of sheep by off-site burial for Infected Zone</t>
  </si>
  <si>
    <t>Operational cost to dispose of goats by off-site burial for Infected Zone</t>
  </si>
  <si>
    <t>Operational cost to dispose of cattle by off-site burial for Buffer Zone</t>
  </si>
  <si>
    <t>Operational cost to dispose of swine by off-site burial for  Buffer Zone</t>
  </si>
  <si>
    <t>Operational cost to dispose of goats by off-site burial for Buffer Zone</t>
  </si>
  <si>
    <t>Cost to dispose of cattle by off-site burial for Infected Zone</t>
  </si>
  <si>
    <t>Cost to dispose of swine by off-site burial for Infected Zone</t>
  </si>
  <si>
    <t>Cost to dispose of sheep by off-site burial for Infected Zone</t>
  </si>
  <si>
    <t>Cost to dispose of goats by off-site burial for Infected Zone</t>
  </si>
  <si>
    <t>Cost to dispose of cattle by off-site burial for Buffer Zone</t>
  </si>
  <si>
    <t>Cost to dispose of swine by off-site burial for  Buffer Zone</t>
  </si>
  <si>
    <t>Operational cost to dispose of sheep by off-site burial for Buffer Zone</t>
  </si>
  <si>
    <t>Cost to dispose of sheep by off-site burial for Buffer Zone</t>
  </si>
  <si>
    <t>Cost to dispose of goats by off-site burial for Buffer Zone</t>
  </si>
  <si>
    <t>Cost to dispose of cattle by off-site burial in all zones</t>
  </si>
  <si>
    <t>Total operational cost to dispose of cattle by off-site burial in all zones</t>
  </si>
  <si>
    <t>Total operational cost to dispose of swine by off-site burial in all zones</t>
  </si>
  <si>
    <t>Total operational cost to dispose of sheep by off-site burial in all zones</t>
  </si>
  <si>
    <t>Total operational cost to dispose of goats by off-site burial in all zones</t>
  </si>
  <si>
    <t>Total amount of time to dispose of cattle by off-site burial  in all zones</t>
  </si>
  <si>
    <t>Total amount of time to dispose of swine by off-site burial  in all zones</t>
  </si>
  <si>
    <t>Total amount of time to dispose of sheep by off-site burial  in all zones</t>
  </si>
  <si>
    <t>Total amount of time to dispose of goats by off-site burial  in all zones</t>
  </si>
  <si>
    <t>Total cost of personnel to dispose of swine by off-site burial in all zones</t>
  </si>
  <si>
    <t>Total cost of personnel to dispose of cattle by off-site burial in all zones</t>
  </si>
  <si>
    <t>Total cost of personnel to dispose of sheep by off-site burial in all zones</t>
  </si>
  <si>
    <t>Total cost of personnel to dispose of goats by off-site burial in all zones</t>
  </si>
  <si>
    <t>Cost to dispose of swine by off-site burial in all zones</t>
  </si>
  <si>
    <t>Cost to dispose of sheep by off-site burial in all zones</t>
  </si>
  <si>
    <t>Cost to dispose of goats by off-site burial in all zones</t>
  </si>
  <si>
    <t>Vehicle surface area estimate, pickup truck</t>
  </si>
  <si>
    <t>Pickup truck specifications for decon - estimating surface area: Overall length of a crew cab pickup = 230 in; width = 70 in; height = 62 in; length of bed = 72 in; head room = 40 in.  Accounting for all planes, including undercarriage and tires, roughly 630 sq ft</t>
  </si>
  <si>
    <t>A dump truck has dimensions of 10.46mx2.47mx3.46m, or 34.5ftx8.1ftx11.3ft, which is a bulk volume of 3157 cu ft.  The bulk volume of the pickup was 288 cu ft.  The dump truck's volume is 11 times larger than the pickup.  Assume the surface area is 11 times larger as well, or 11 x 630 sq ft = 6930 sq ft per truck.</t>
  </si>
  <si>
    <t>Landfill Processing</t>
  </si>
  <si>
    <t>Disposal Fees</t>
  </si>
  <si>
    <t>Driving distance to permitted landfill</t>
  </si>
  <si>
    <t>Indoor area of contaminated buildings/facilities</t>
  </si>
  <si>
    <t>sq feet</t>
  </si>
  <si>
    <t>Equipment treatment rate and cost for outdoor decontamination (e.g., decon trucks, trailer, panels, etc.)</t>
  </si>
  <si>
    <t>Decontamination sprayer for indoor decontamination</t>
  </si>
  <si>
    <t xml:space="preserve">Treatment rate and cost for indoor decontamination </t>
  </si>
  <si>
    <t>Treatment rate and cost for outdoor decontamination</t>
  </si>
  <si>
    <t>sq ft of equipment per feedlot per team</t>
  </si>
  <si>
    <t>sq ft per decon unit per day</t>
  </si>
  <si>
    <t>number of units per team</t>
  </si>
  <si>
    <t>$ per decon unit per day</t>
  </si>
  <si>
    <t>The data from the Advanced Settings tab, the main Decontamination tab, and the GIS inputs are used to calculate costs and time.</t>
  </si>
  <si>
    <t>Percent of outdoor area to be decontaminated [Integer input field]</t>
  </si>
  <si>
    <t>Amount of time to decontaminate buildings/facilities in Infected Zone</t>
  </si>
  <si>
    <t>Amount of time to decontaminate outdoor areas in Infected Zone</t>
  </si>
  <si>
    <t>Amount of time to decontaminate buildings/facilities in Buffer Zone</t>
  </si>
  <si>
    <t>Amount of time to decontaminate outdoor areas in Buffer Zone</t>
  </si>
  <si>
    <t>Total amount of time to decontaminate buildings/facilities in all Zones</t>
  </si>
  <si>
    <t>Total amount of time to decontaminate outdoor areas in all Zones</t>
  </si>
  <si>
    <t>Cost of personnel to decontaminate buildings/facilities in Infected Zone</t>
  </si>
  <si>
    <t>Cost of personnel to decontaminate outdoor areas in Infected Zone</t>
  </si>
  <si>
    <t>Cost of personnel to decontaminate buildings/facilities in Buffer Zone</t>
  </si>
  <si>
    <t>Cost of personnel to decontaminate outdoor areas in Buffer Zone</t>
  </si>
  <si>
    <t>Total cost of personnel to decontaminate buildings/facilities in all Zones</t>
  </si>
  <si>
    <t>Total cost of personnel to decontaminate outdoor areas in all Zones</t>
  </si>
  <si>
    <t>Total amount of time to decontaminate the entire area</t>
  </si>
  <si>
    <t>Total cost of personnel to decontaminate the entire area</t>
  </si>
  <si>
    <t>The following inputs come from the main Decontamination tab in the AgSec module</t>
  </si>
  <si>
    <t>Operational cost to decontaminate buildings/facilities in Infected Zone</t>
  </si>
  <si>
    <t>Operational cost to decontaminate outdoor areas in Infected Zone</t>
  </si>
  <si>
    <t>Operational cost to decontaminate buildings/facilities in Buffer Zone</t>
  </si>
  <si>
    <t>Operational cost to decontaminate outdoor areas in Buffer Zone</t>
  </si>
  <si>
    <t>Total operational cost to decontaminate outdoor areas</t>
  </si>
  <si>
    <t>Total operational cost to decontaminate buildings/facilities</t>
  </si>
  <si>
    <t>Total operational cost to decontaminate buildings/facilities/outdoor areas</t>
  </si>
  <si>
    <t>Cost to decontaminate buildings/facilities in Infected Zone</t>
  </si>
  <si>
    <t>Cost to decontaminate buildings/facilities in Buffer Zone</t>
  </si>
  <si>
    <t>Cost to decontaminate outdoor areas in Infected Zone</t>
  </si>
  <si>
    <t>Cost to decontaminate outdoor areas in Buffer Zone</t>
  </si>
  <si>
    <t>Cost to decontaminate buildings/facilities in all zones</t>
  </si>
  <si>
    <t>Cost to decontaminate outdoor areas in all zones</t>
  </si>
  <si>
    <t>Total costs to decontaminate buildings/facilities/outdoor areas</t>
  </si>
  <si>
    <t>Agricultural Security Module</t>
  </si>
  <si>
    <t>This spreadsheet is divided into tabs that address the different options available for 3D.  These options include:</t>
  </si>
  <si>
    <t>On-site Incineration</t>
  </si>
  <si>
    <t>Off-site Incineration</t>
  </si>
  <si>
    <t>On-site Burial</t>
  </si>
  <si>
    <t>The main product of this tool is the time and cost estimates for restoring the system.</t>
  </si>
  <si>
    <t>Summary Results</t>
  </si>
  <si>
    <t>This module summarizes some of the results from the various options chosen by the user.</t>
  </si>
  <si>
    <t>Parameters to be used to calculate costs and time, combined with data from the Facility Dcontamination tab of the AgSec module</t>
  </si>
  <si>
    <t>Time</t>
  </si>
  <si>
    <t>Activity</t>
  </si>
  <si>
    <t>Time to Vaccinate Infected Zone</t>
  </si>
  <si>
    <t>Time to Vaccinate Buffer Zone</t>
  </si>
  <si>
    <t>Result</t>
  </si>
  <si>
    <t>Cost of Personnel for Infected Zone</t>
  </si>
  <si>
    <t>Cost of Personnel for Buffer Zone</t>
  </si>
  <si>
    <t>Total Cost of Personnel</t>
  </si>
  <si>
    <t>Cost of Equipment and O&amp;M for Infected Zone</t>
  </si>
  <si>
    <t>Cost of Equipment and O&amp;M for Buffer Zone</t>
  </si>
  <si>
    <t>Total Cost for Infected Zone</t>
  </si>
  <si>
    <t>Total Cost for Buffer Zone</t>
  </si>
  <si>
    <t>Total Cost of Vaccination</t>
  </si>
  <si>
    <t>Total Costs</t>
  </si>
  <si>
    <t>Time to Depopulate Infected Zone</t>
  </si>
  <si>
    <t>Time to Depopulate Buffer Zone</t>
  </si>
  <si>
    <t>Total Cost of Depopulation</t>
  </si>
  <si>
    <t>Time to Compost Infected Zone</t>
  </si>
  <si>
    <t>Time to Compost Buffer Zone</t>
  </si>
  <si>
    <t>Total Cost of Composting</t>
  </si>
  <si>
    <t>Time to Render Infected Zone</t>
  </si>
  <si>
    <t>Time to Render Buffer Zone</t>
  </si>
  <si>
    <t>Total Time to Render all Zones</t>
  </si>
  <si>
    <t>Total Time to Compost all Zones</t>
  </si>
  <si>
    <t>Total Time to Depopulate all Zones</t>
  </si>
  <si>
    <t>Total Time to Vaccinate all Zones</t>
  </si>
  <si>
    <t>Total Cost of Rendering</t>
  </si>
  <si>
    <t>Time to Incinerate Infected Zone</t>
  </si>
  <si>
    <t>Time to Incinerate Buffer Zone</t>
  </si>
  <si>
    <t>Total Time to Incinerate all Zones</t>
  </si>
  <si>
    <t>Total Cost of Off-site Incineration</t>
  </si>
  <si>
    <t>Total Cost of On-site Incineration</t>
  </si>
  <si>
    <t>Off-site Landfill Burial</t>
  </si>
  <si>
    <t>Time to Bury Infected Zone</t>
  </si>
  <si>
    <t>Time to Bury Buffer Zone</t>
  </si>
  <si>
    <t>Total Time to Bury all Zones</t>
  </si>
  <si>
    <t>Total Cost of Off-site Burial</t>
  </si>
  <si>
    <t>Time to Mobile Treatment Infected Zone</t>
  </si>
  <si>
    <t>Time to Mobile Treatment Buffer Zone</t>
  </si>
  <si>
    <t>Total Time to Mobile Treatment all Zones</t>
  </si>
  <si>
    <t>Total Cost of Mobile Treatment</t>
  </si>
  <si>
    <t>Total Cost of On-site Burial</t>
  </si>
  <si>
    <t>Time to Decontaminate Infected Zone</t>
  </si>
  <si>
    <t>Time to Decontaminate Buffer Zone</t>
  </si>
  <si>
    <t>Total Time to Decontaminate all Zones</t>
  </si>
  <si>
    <t>Total Cost of Facility Decontamination</t>
  </si>
  <si>
    <t>Time to Sample Infected Zone</t>
  </si>
  <si>
    <t>Time to Sample Buffer Zone</t>
  </si>
  <si>
    <t>Total Time to Sample all Zones</t>
  </si>
  <si>
    <t>Total Cost of Sampling</t>
  </si>
  <si>
    <t>This module assumes that burial will be done on-site where livestock originated, so no transportation costs are needed (e.g., hauling).</t>
  </si>
  <si>
    <t>The following inputs come from the main On-site Burial tab in the AgSec module</t>
  </si>
  <si>
    <t>Number of burial teams available [Integer input field]</t>
  </si>
  <si>
    <t>The data from the Advanced Settings tab, the main On-site Burial tab, and the GIS inputs are used to calculate costs and time.</t>
  </si>
  <si>
    <t>Amount of time to bury cattle in Infected Zone</t>
  </si>
  <si>
    <t>Amount of time to bury swine in Infected Zone</t>
  </si>
  <si>
    <t>Amount of time to bury sheep in Infected Zone</t>
  </si>
  <si>
    <t>Amount of time to bury goats in Infected Zone</t>
  </si>
  <si>
    <t>Amount of time to bury cattle in Buffer Zone</t>
  </si>
  <si>
    <t>Amount of time to bury swine in Buffer Zone</t>
  </si>
  <si>
    <t>Amount of time to bury sheep in Buffer Zone</t>
  </si>
  <si>
    <t>Amount of time to bury goats in Buffer Zone</t>
  </si>
  <si>
    <t>Total amount of time to bury cattle</t>
  </si>
  <si>
    <t xml:space="preserve">Total amount of time to bury swine </t>
  </si>
  <si>
    <t xml:space="preserve">Total amount of time to bury sheep </t>
  </si>
  <si>
    <t xml:space="preserve">Total amount of time to bury goats </t>
  </si>
  <si>
    <t>Cost of personnel to bury cattle in Infected Zone</t>
  </si>
  <si>
    <t>Cost of personnel to bury swine in Infected Zone</t>
  </si>
  <si>
    <t>Cost of personnel to bury sheep in Infected Zone</t>
  </si>
  <si>
    <t>Cost of personnel to bury goats in Infected Zone</t>
  </si>
  <si>
    <t>Cost of personnel to bury cattle in Buffer Zone</t>
  </si>
  <si>
    <t>Cost of personnel to bury swine in Buffer Zone</t>
  </si>
  <si>
    <t>Cost of personnel to bury sheep in Buffer Zone</t>
  </si>
  <si>
    <t>Cost of personnel to bury goats in Buffer Zone</t>
  </si>
  <si>
    <t>Total cost of personnel to bury cattle</t>
  </si>
  <si>
    <t xml:space="preserve">Total cost of personnel to bury swine </t>
  </si>
  <si>
    <t xml:space="preserve">Total cost of personnel to bury sheep </t>
  </si>
  <si>
    <t xml:space="preserve">Total cost of personnel to bury goats </t>
  </si>
  <si>
    <t>Operational cost to bury cattle in Infected Zone</t>
  </si>
  <si>
    <t>Operational cost to bury swine in Infected Zone</t>
  </si>
  <si>
    <t>Operational cost to bury sheep in Infected Zone</t>
  </si>
  <si>
    <t>Operational cost to bury goats in Infected Zone</t>
  </si>
  <si>
    <t>Operational cost to bury cattle in Buffer Zone</t>
  </si>
  <si>
    <t>Operational cost to bury swine in Buffer Zone</t>
  </si>
  <si>
    <t>Operational cost to bury sheep in Buffer Zone</t>
  </si>
  <si>
    <t>Operational cost to bury goats in Buffer Zone</t>
  </si>
  <si>
    <t xml:space="preserve">Total operational cost to bury cattle </t>
  </si>
  <si>
    <t>Total operational cost to bury swine</t>
  </si>
  <si>
    <t>Total operational cost to bury sheep</t>
  </si>
  <si>
    <t>Total operational cost to bury goats</t>
  </si>
  <si>
    <t>Cost to bury cattle in Infected Zone</t>
  </si>
  <si>
    <t>Cost to bury swine in Infected Zone</t>
  </si>
  <si>
    <t>Cost to bury sheep in Infected Zone</t>
  </si>
  <si>
    <t>Cost to bury goats in Infected Zone</t>
  </si>
  <si>
    <t>Cost to bury cattle in Buffer Zone</t>
  </si>
  <si>
    <t>Cost to bury swine in Buffer Zone</t>
  </si>
  <si>
    <t>Cost to bury sheep in Buffer Zone</t>
  </si>
  <si>
    <t>Cost to bury goats in Buffer Zone</t>
  </si>
  <si>
    <t>Cost to bury cattle in all zones</t>
  </si>
  <si>
    <t>Cost to bury swine in all zones</t>
  </si>
  <si>
    <t>Cost to bury sheep in all zones</t>
  </si>
  <si>
    <t>Cost to bury goats in all zones</t>
  </si>
  <si>
    <t>Total costs to bury all livestock</t>
  </si>
  <si>
    <t>Total costs to compost all livestock</t>
  </si>
  <si>
    <t>There is a need to estimate how many livestock carcasses can be buried given a specified amount of acreage for the burial operations.</t>
  </si>
  <si>
    <t>Assumptions associated with burial pit construction and capacity</t>
  </si>
  <si>
    <t>The footprint per trench is then 2,000 square feet.  Plastic sheeting might be desired to cover the ground throughout this 2,000 square feet.</t>
  </si>
  <si>
    <t>Burial trenches are assumed to be 10 feet wide by 200 feet long and 8 feet deep.  The top two feet of the excavation would be backfill, leaving 6 feet of depth for livestock disposal.</t>
  </si>
  <si>
    <t>Approximately 3 cubic yards of excavation space is needed for each cattle carcass.  Each trench as defined holds 444 cubic yards, thereby accommodating 148 cattle.</t>
  </si>
  <si>
    <t>Therefore, for each 4,000 square feet of space there will be 148 cattle carcasses buried.</t>
  </si>
  <si>
    <t>Fencing might be suggested around the perimeter of the burial trenches to keep animals out.</t>
  </si>
  <si>
    <t>Lime application on crops recommended loading rate of 2 tons per acre, so for one trench it would be 275 lb per trench, or 0.14 tons per trench.</t>
  </si>
  <si>
    <t xml:space="preserve">   - swine = 300 carcasses</t>
  </si>
  <si>
    <t xml:space="preserve">   - sheep = 890 carcasses</t>
  </si>
  <si>
    <t>Given the weight differences between cattle and other livestock, it is assumed that a simple ratio of the weight difference should translate roughly into the number of other livestock that can be processed in a 2,000 square foot burial trench:</t>
  </si>
  <si>
    <t>Total number of burial trenches needed for all livestock</t>
  </si>
  <si>
    <t>Number of burial trenches needed for cattle in the infected zone</t>
  </si>
  <si>
    <t>Number of burial trenches needed for swine in the infected zone</t>
  </si>
  <si>
    <t>Number of burial trenches needed for sheep in the infected zone</t>
  </si>
  <si>
    <t>Number of burial trenches needed for goats in the infected zone</t>
  </si>
  <si>
    <t>Number of burial trenches needed for cattle in the buffer zone</t>
  </si>
  <si>
    <t>Number of burial trenches needed for swine in the buffer zone</t>
  </si>
  <si>
    <t>Number of burial trenches needed for sheep in the buffer zone</t>
  </si>
  <si>
    <t>Number of burial trenches needed for goats in the buffer zone</t>
  </si>
  <si>
    <t>Total number of burial trenches needed for cattle</t>
  </si>
  <si>
    <t xml:space="preserve">Total number of burial trenches needed for swine </t>
  </si>
  <si>
    <t>Total number of burial trenches needed for sheep</t>
  </si>
  <si>
    <t>Total number of burial trenches needed for goats</t>
  </si>
  <si>
    <t>Plastic sheeting for burial trenches</t>
  </si>
  <si>
    <t>Fencing for perimeter of burial trenches</t>
  </si>
  <si>
    <t>Total Supplies per burial trench</t>
  </si>
  <si>
    <t xml:space="preserve">   - goats = 1110 carcasses</t>
  </si>
  <si>
    <t>#</t>
  </si>
  <si>
    <t>lbs</t>
  </si>
  <si>
    <t>Result (days)</t>
  </si>
  <si>
    <t>Time to Vaccinate Vaccination Zone</t>
  </si>
  <si>
    <t>Cost of Personnel for Vaccination Zone</t>
  </si>
  <si>
    <t>Cost of Equipment and O&amp;M for Vaccination Zone</t>
  </si>
  <si>
    <t>Total Cost for Vaccination Zone</t>
  </si>
  <si>
    <t>It is assumed that some space will be needed between each successive burial trenches in order to access the trenches, if need be.  Assume the same area as each trench, 2,000 square feet.</t>
  </si>
  <si>
    <t>http://www.gsa.gov/portal/content/104877?utm_source=OGP&amp;utm_medium=print-radio&amp;utm_term=perdiem&amp;utm_campaign=shortcuts</t>
  </si>
  <si>
    <t>http://www.bls.gov/data/</t>
  </si>
  <si>
    <t>http://www.hertz.com/</t>
  </si>
  <si>
    <t>http://www.cheaperthandirt.com/</t>
  </si>
  <si>
    <t>http://www.harborfreight.com/</t>
  </si>
  <si>
    <t>Correspondence from The Dupps Company,Precrusher, Model 15-1/W</t>
  </si>
  <si>
    <t>Landfill disposal cost</t>
  </si>
  <si>
    <t>cost per ton for livestock disposal in a permitted landfill</t>
  </si>
  <si>
    <t>Correspondence from Waste Management, Inc., qualified that it could change over time based on volumes and special handling procedures</t>
  </si>
  <si>
    <t>Note: from "Managing Contaminated Animal and Plant Materials, Field Guide on Best Practices", fixed facility incinerators should be able to process 6 tons per 24 hours. Air-curtain incinerators can do 4 to 6 tons per hour.</t>
  </si>
  <si>
    <t>It is assumed that the reported operational cost for the incineration process includes the wood needed to maintain the fire temperatures to kill all prions.</t>
  </si>
  <si>
    <t>There may be a need to address the disposal of ash, depending on the volume of ash produced.</t>
  </si>
  <si>
    <t>Note:</t>
  </si>
  <si>
    <t>Air curtain incinerator</t>
  </si>
  <si>
    <t>Correspondence from Air Burners, Inc., http://www.airburners.com/index.html</t>
  </si>
  <si>
    <t>Model S-327 Firebox air curtain incinerator, this is the top end model, consider the most safe for carcass incineration; cost includes $6,600 for shipping</t>
  </si>
  <si>
    <t>Sampling Crew Members</t>
  </si>
  <si>
    <t>Sampling Subject Matter Expert</t>
  </si>
  <si>
    <t>Sampling supplies</t>
  </si>
  <si>
    <t>Total Supplies per Sampling Team</t>
  </si>
  <si>
    <t>$ per Team per day</t>
  </si>
  <si>
    <t>The following inputs come from the main Sampling tab in the AgSec module</t>
  </si>
  <si>
    <t>Number of sampling teams available [Integer input field]</t>
  </si>
  <si>
    <t>Percent confidence in the clearance sampling</t>
  </si>
  <si>
    <t>Amount of time to sample in Infected Zone</t>
  </si>
  <si>
    <t>Amount of time to sample in Buffer Zone</t>
  </si>
  <si>
    <t>Total amount of time to sample</t>
  </si>
  <si>
    <t>Operational cost to sample in Infected Zone</t>
  </si>
  <si>
    <t>Operational cost to sample in Buffer Zone</t>
  </si>
  <si>
    <t>Total operational cost to sample</t>
  </si>
  <si>
    <t>Cost to sample in Infected Zone</t>
  </si>
  <si>
    <t>Cost to sample in Buffer Zone</t>
  </si>
  <si>
    <t>Total costs to sample</t>
  </si>
  <si>
    <t>Cost of personnel to sample in Infected Zone</t>
  </si>
  <si>
    <t>Cost of personnel to sample in Buffer Zone</t>
  </si>
  <si>
    <t>Total cost of personnel to sample</t>
  </si>
  <si>
    <t>Percent of area clean for the clearance sampling</t>
  </si>
  <si>
    <t>The data from the Advanced Settings tab, the main Sampling tab, and the GIS inputs are used to calculate costs and time.</t>
  </si>
  <si>
    <t>Laboratory Analysis</t>
  </si>
  <si>
    <t>Laboratory analysis of FMD virus</t>
  </si>
  <si>
    <t>Total Laboratory Analysis</t>
  </si>
  <si>
    <t>per sample</t>
  </si>
  <si>
    <t>$ per sample</t>
  </si>
  <si>
    <t>The clearance sampling specifications allow for a probability/statistical application to address confidence for reopening a facility.</t>
  </si>
  <si>
    <t>With this method, one can make a statement to the effect: with X samples there is a 95% confidence that 95% of the area is clean.</t>
  </si>
  <si>
    <t xml:space="preserve">For clearance sampling it is likely that probability-based sampling would be the main method for sampling design, and it will be supplemented with some </t>
  </si>
  <si>
    <t>The number of judgmental/targeted samples is not known, but the user could be asked to supply a number based on their judgment.</t>
  </si>
  <si>
    <t>For the purpose of planning the sampling requirements within AWARE, a probability-based method will be used.</t>
  </si>
  <si>
    <t>The most appropriate probability-based statistical design method for clearance is arguably the compliance sampling method.</t>
  </si>
  <si>
    <r>
      <t xml:space="preserve">Table to calculate Pg from the confidence, </t>
    </r>
    <r>
      <rPr>
        <i/>
        <sz val="10"/>
        <rFont val="Arial"/>
        <family val="2"/>
      </rPr>
      <t>a</t>
    </r>
  </si>
  <si>
    <t>The compliance sampling method allows the user to specify statistical/confidence goals for the sampling design.</t>
  </si>
  <si>
    <t>The compliance sampling method selected is non-parametric, or in other words the data do not have to conform to a specific distribution, such as a normal distribution.</t>
  </si>
  <si>
    <r>
      <t xml:space="preserve">Required Confidence - </t>
    </r>
    <r>
      <rPr>
        <i/>
        <sz val="10"/>
        <rFont val="Arial"/>
        <family val="2"/>
      </rPr>
      <t>a</t>
    </r>
  </si>
  <si>
    <t xml:space="preserve">The user must specify the confidence they want in the data (e.g., 95% confidence), as well as the percent of the population of the data that this applies to </t>
  </si>
  <si>
    <t>Pg</t>
  </si>
  <si>
    <t xml:space="preserve">  (e.g., the % of the population).  So you would end up with an expression like - With 'n' number of samples there is 95% confidence that less than 10% of the </t>
  </si>
  <si>
    <t xml:space="preserve">  population is above a specified concentration threshold (e.g., a risk-based concentration or a detection limit).  In this method, the user also specifies</t>
  </si>
  <si>
    <t xml:space="preserve">  a grid design upon which the number of samples is then determined according to the confidence and percentile specifications.</t>
  </si>
  <si>
    <r>
      <t xml:space="preserve">Table to calculate the </t>
    </r>
    <r>
      <rPr>
        <i/>
        <sz val="10"/>
        <rFont val="Arial"/>
        <family val="2"/>
      </rPr>
      <t>f</t>
    </r>
    <r>
      <rPr>
        <sz val="11"/>
        <color theme="1"/>
        <rFont val="Calibri"/>
        <family val="2"/>
        <scheme val="minor"/>
      </rPr>
      <t xml:space="preserve"> factor from the estimate of D</t>
    </r>
  </si>
  <si>
    <t>The number of samples required to achieve the specified performance criteria will vary with different input values.</t>
  </si>
  <si>
    <t>f</t>
  </si>
  <si>
    <t>-</t>
  </si>
  <si>
    <t>P = the maximum tolerable proportion of the population that is contaminated</t>
  </si>
  <si>
    <r>
      <t>a</t>
    </r>
    <r>
      <rPr>
        <sz val="11"/>
        <color theme="1"/>
        <rFont val="Calibri"/>
        <family val="2"/>
        <scheme val="minor"/>
      </rPr>
      <t xml:space="preserve"> = the confidence specifier (where </t>
    </r>
    <r>
      <rPr>
        <i/>
        <sz val="10"/>
        <rFont val="Arial"/>
        <family val="2"/>
      </rPr>
      <t>a</t>
    </r>
    <r>
      <rPr>
        <sz val="11"/>
        <color theme="1"/>
        <rFont val="Calibri"/>
        <family val="2"/>
        <scheme val="minor"/>
      </rPr>
      <t xml:space="preserve"> is a fraction, whereby (1-</t>
    </r>
    <r>
      <rPr>
        <i/>
        <sz val="10"/>
        <rFont val="Arial"/>
        <family val="2"/>
      </rPr>
      <t>a</t>
    </r>
    <r>
      <rPr>
        <sz val="11"/>
        <color theme="1"/>
        <rFont val="Calibri"/>
        <family val="2"/>
        <scheme val="minor"/>
      </rPr>
      <t xml:space="preserve">) is the confidence, so if you want 95% confidence then </t>
    </r>
    <r>
      <rPr>
        <i/>
        <sz val="10"/>
        <rFont val="Arial"/>
        <family val="2"/>
      </rPr>
      <t>a</t>
    </r>
    <r>
      <rPr>
        <sz val="11"/>
        <color theme="1"/>
        <rFont val="Calibri"/>
        <family val="2"/>
        <scheme val="minor"/>
      </rPr>
      <t xml:space="preserve"> = 0.05)</t>
    </r>
  </si>
  <si>
    <t>n = number of samples to collect</t>
  </si>
  <si>
    <t>N = the total number of grid units that could be sampled from to create a population data set (note: one could assume that a</t>
  </si>
  <si>
    <t xml:space="preserve">  decision rule such that a wipe sample could be collected in every square foot of a facility, so the number of square feet of the</t>
  </si>
  <si>
    <t xml:space="preserve">  facility would equal the number of possible grid units)</t>
  </si>
  <si>
    <t>There are a couple of lookup tables that are used to formulate the appropriate coefficients for the final prediction of the number of samples to collect.</t>
  </si>
  <si>
    <r>
      <t xml:space="preserve">n = N * </t>
    </r>
    <r>
      <rPr>
        <i/>
        <sz val="10"/>
        <rFont val="Arial"/>
        <family val="2"/>
      </rPr>
      <t>f</t>
    </r>
    <r>
      <rPr>
        <sz val="11"/>
        <color theme="1"/>
        <rFont val="Calibri"/>
        <family val="2"/>
        <scheme val="minor"/>
      </rPr>
      <t xml:space="preserve">, where </t>
    </r>
    <r>
      <rPr>
        <i/>
        <sz val="10"/>
        <rFont val="Arial"/>
        <family val="2"/>
      </rPr>
      <t>f</t>
    </r>
    <r>
      <rPr>
        <sz val="11"/>
        <color theme="1"/>
        <rFont val="Calibri"/>
        <family val="2"/>
        <scheme val="minor"/>
      </rPr>
      <t xml:space="preserve"> is a function of D = N * ( P / Pg), with Pg from a lookup table and </t>
    </r>
    <r>
      <rPr>
        <i/>
        <sz val="10"/>
        <rFont val="Arial"/>
        <family val="2"/>
      </rPr>
      <t>f</t>
    </r>
    <r>
      <rPr>
        <sz val="11"/>
        <color theme="1"/>
        <rFont val="Calibri"/>
        <family val="2"/>
        <scheme val="minor"/>
      </rPr>
      <t xml:space="preserve"> from a lookup table</t>
    </r>
  </si>
  <si>
    <t xml:space="preserve">  judgmental/targeted sampling.</t>
  </si>
  <si>
    <t>a (confidence)</t>
  </si>
  <si>
    <t>P</t>
  </si>
  <si>
    <t>(percentile)</t>
  </si>
  <si>
    <t>allowed dirty</t>
  </si>
  <si>
    <t xml:space="preserve">There are some slight differences between this table and the first one presented above, probably due to the round-off issue vs lookup paradigm that picks the next lowest entry.  </t>
  </si>
  <si>
    <t>In CONCLUSION, the lookup table method is the better way to go, outside of programming up an interpolation logic in an actual software version rather than a spreadsheet.</t>
  </si>
  <si>
    <t>In practice, would want to either have the user select the confidence based on the pre-defined values in the Pg lookup table or to expand the number of values in the table</t>
  </si>
  <si>
    <t xml:space="preserve">  by interpolating values and entering them into the lookup table.</t>
  </si>
  <si>
    <t>In a spreadsheet application the following setup would be useful, where the user specifies the confidence, percent allowed dirty, and the square footage of the area to sample.</t>
  </si>
  <si>
    <t>Calculation of the number of samples needed for clearance sampling</t>
  </si>
  <si>
    <t>Choose a confidence value, must be one of the following: 50%, 75%, 90%, 95%, 97.5%, 99%, 99.5%, or 99.9%</t>
  </si>
  <si>
    <t>Choose a value for the percentage allowed to be dirty, must be one of the following: 30%, 25%, 20%, 15%, 10%, 5%, 2%, 1%, 0.5%, or 0.1%</t>
  </si>
  <si>
    <t>What is the square footage of the area to be sampled (caution: more than 4,000 sq ft may result in computational problems)</t>
  </si>
  <si>
    <t>The number of compliance samples required equals:</t>
  </si>
  <si>
    <t>Example:</t>
  </si>
  <si>
    <t>Lookup a Pg value for a confidence of 0.92:</t>
  </si>
  <si>
    <t>Returns the next lowest value in the vector, does not interpolate</t>
  </si>
  <si>
    <t>Lookup a Pg value for a confidence of 0.99:</t>
  </si>
  <si>
    <t>Returns the exact value in the vector because it exists in the table</t>
  </si>
  <si>
    <t>D</t>
  </si>
  <si>
    <t>Let's try using these lookup tables to fill in the table from above, again with N = 4000.</t>
  </si>
  <si>
    <t>For Pg as a function of confidence, a:</t>
  </si>
  <si>
    <t>a - confidence</t>
  </si>
  <si>
    <t>For f as a function of D:</t>
  </si>
  <si>
    <t>Lookup an f value for a D of 13.:</t>
  </si>
  <si>
    <t>Practical application of the approach - Use the Lookup function within Excel to find values of Pg and f from their respective lookup tables.</t>
  </si>
  <si>
    <t>Y</t>
  </si>
  <si>
    <t>Use statistical sampling for clearance sampling (Y/N)</t>
  </si>
  <si>
    <t>Sampling Parameters</t>
  </si>
  <si>
    <t>Judgmental sampling - indoors</t>
  </si>
  <si>
    <t>Judgmental sampling - outdoors</t>
  </si>
  <si>
    <t>Zone size for statistical sampling - indoors</t>
  </si>
  <si>
    <t>Zone size for statistical sampling - outdoors</t>
  </si>
  <si>
    <t>The clearance algorithm is either a multi-step calculation or  basically a lookup table, as shown to the far right in this worksheet.</t>
  </si>
  <si>
    <t>When the statistical algorithm is invoked, the assumption is that the number of samples produced by the method for the criteria specified would be applicable for each zone identified by the user.</t>
  </si>
  <si>
    <t>Therefore, a zone size is necessary to apply the statistical method to all of the indoor sampling needs as well as the outdoor sampling needs.  The indoor zone size is likely to be much smaller than an outdoor zone size.</t>
  </si>
  <si>
    <t>In a real-world situation, the zone sizes would vary based on site conditions.  For this planning tool, one has to make a specification of an indoor and an outdoor zone size to make the problem managable.</t>
  </si>
  <si>
    <t>So for areas that are larger than a specified zone size, the number of samples would be scaled accordingly based on area size.</t>
  </si>
  <si>
    <t>Calculation of sample numbers</t>
  </si>
  <si>
    <t>Outdoor area to be decontaminated</t>
  </si>
  <si>
    <t>Judgmental sampling</t>
  </si>
  <si>
    <t>Statistical sampling - check if statistical sampling was invoked, and if so calculate number of samples</t>
  </si>
  <si>
    <t>samples per zone</t>
  </si>
  <si>
    <t>Note: operational costs include PPE (new PPE for each day for each person), supplies, rentals and equipment per team</t>
  </si>
  <si>
    <t>Equipment, Supplies, Lab Costs &amp; Rentals</t>
  </si>
  <si>
    <t>$ per team</t>
  </si>
  <si>
    <t>acres per decon unit per day</t>
  </si>
  <si>
    <t>Number of outdoor decontamination units available [Integer input field]</t>
  </si>
  <si>
    <t>Number of indoor decontamination units available [Integer input field]</t>
  </si>
  <si>
    <t>Note: operational costs include PPE (new PPE for each day per person), equipment per team, decon per feedlot)</t>
  </si>
  <si>
    <t>number of units per feedlot</t>
  </si>
  <si>
    <t>$ per burial trench</t>
  </si>
  <si>
    <t>lbs per burial trench</t>
  </si>
  <si>
    <t>Number of burial trenches that can be constructed and filled with dead livestock by each team in a day [Integer input field]</t>
  </si>
  <si>
    <t>tons</t>
  </si>
  <si>
    <t>How many tons of livestock need to be processed?</t>
  </si>
  <si>
    <t>Grand Total</t>
  </si>
  <si>
    <t>$ per feedlot &amp; per day</t>
  </si>
  <si>
    <t>Time to incinerate infected zone</t>
  </si>
  <si>
    <t>Time to incinerate buffer zone</t>
  </si>
  <si>
    <t>Other expendable supplies</t>
  </si>
  <si>
    <t>Other equipment</t>
  </si>
  <si>
    <t>Many, but not all, of the cost factors in this tool set were derived from the literature.  A References tab documents these factors.</t>
  </si>
  <si>
    <t>Off-site Burial</t>
  </si>
  <si>
    <t>On-site Landfill Burial</t>
  </si>
  <si>
    <t>A GIS_inputs tab summarizes basic information that is input from a built-in Geographical Information System (GIS) engine within the PATH/AWARE toolset.  These data are critical inputs to the analysis.</t>
  </si>
  <si>
    <t>Results of the computations are summarized in both a Summary Results tab and a Charts tab.</t>
  </si>
  <si>
    <t>Prepared by</t>
  </si>
  <si>
    <t>Sandia National Laboratories</t>
  </si>
  <si>
    <t>Albuquerque, New Mexico 87185 and</t>
  </si>
  <si>
    <t>Livermore, California 94550</t>
  </si>
  <si>
    <t xml:space="preserve">Sandia National Laboratories is a </t>
  </si>
  <si>
    <t xml:space="preserve">multi-program laboratory managed and </t>
  </si>
  <si>
    <t xml:space="preserve">operated by Sandia Corporation, a wholly </t>
  </si>
  <si>
    <t xml:space="preserve">owned subsidiary of Lockheed Martin </t>
  </si>
  <si>
    <t xml:space="preserve">Corporation, for the U.S. Department of </t>
  </si>
  <si>
    <t xml:space="preserve">Energy's National Nuclear Security </t>
  </si>
  <si>
    <t xml:space="preserve">Administration under Contract </t>
  </si>
  <si>
    <t>DE-AC04-94AL85000.</t>
  </si>
  <si>
    <t>This medium is classified U.S.</t>
  </si>
  <si>
    <t xml:space="preserve">Government Property.  Protect </t>
  </si>
  <si>
    <t xml:space="preserve">it from unauthorized disclosure </t>
  </si>
  <si>
    <t xml:space="preserve">in compliance with applicable </t>
  </si>
  <si>
    <t xml:space="preserve">executive orders, statutes, and </t>
  </si>
  <si>
    <t>regulations.</t>
  </si>
  <si>
    <t>Funding for this work was provided by the Department of Homeland Security.</t>
  </si>
  <si>
    <t>Summary of livestock totals</t>
  </si>
  <si>
    <t>Head Count</t>
  </si>
  <si>
    <t>Weight (tons)</t>
  </si>
  <si>
    <t>Total livestock in zone</t>
  </si>
  <si>
    <t>Totals for All Zones</t>
  </si>
  <si>
    <t>Total livestock in all zones</t>
  </si>
  <si>
    <t>A more industrial sprayer option is the Intellagard Macaw backpack sprayer, which sells for about $3,200.  If a spray foam decontaminant, such as DF-200 were chosen, then this sprayer would be necessary to produce the foam.  If a chlorine-based decontaminant, such as Virkon S is selected, then the cheaper  SHURflo SRS-600 Propack sprayer, at $300, would suffice.</t>
  </si>
  <si>
    <t>Note: for euthanasia option, need 60 ml per animal</t>
  </si>
  <si>
    <t>Note: assume 2 rounds per animal for captive bolt method</t>
  </si>
  <si>
    <t>Several methods exist for stamping out livestock, i.e., captive bolt, injection, gunshot &amp; gas asphyxiation.</t>
  </si>
  <si>
    <t>Distance to rendering plant [miles]</t>
  </si>
  <si>
    <t>Note: industrial meat grinder can process 1.5 tons per hour</t>
  </si>
  <si>
    <t>Note: industrial meat crusher can process 1.5 tons per hour</t>
  </si>
  <si>
    <t>Note: Special design intermodal container consists of a unit that is leak proof, able to contain aerosols, easily dump liquids and solids at destination, and can be hauled either flatbed truck or rail car.</t>
  </si>
  <si>
    <t>Note: Assume each truck can make one round trip in a day</t>
  </si>
  <si>
    <t>Note: Special design truck consists of dump truck body with sealed tailgate and double locking mechanism. Designed for use with an automatic tarp over the top of the dumb bed.</t>
  </si>
  <si>
    <t>Note: Truck with liner consists of a normal dump truck (or render haul truck) that can have a liner inserted into the bed of the vehicle. Liner is then filled with carcasses and sealed (heat or tape) at the top. Tarp is then placed over top of bed and securly fastened.</t>
  </si>
  <si>
    <t>Note: 6200 gallon liquid tanker consists of carcasses ground into a material (mostly liquid) that can be treated and then pumped into the tanker.</t>
  </si>
  <si>
    <t>Note: Spraying of carcasses consists of using a product such as Virkon or citric acid to spray outside of carcasses during transport; this would reduce the possiblity of spreading the disease via aerosols.</t>
  </si>
  <si>
    <t>Note: from "Carcass Disposal: A Comprehensive Review", rendering facilities should be able to process 60 to 70 tons per 20 hours. (equivalent to 72 to 84 tons per 24 hours)</t>
  </si>
  <si>
    <t>The amount of wood needed is equivalent to the mass of livestock on a one-to-one mass basis.  See the Summary Results tab for a tabulation of the mass of livestock summary.</t>
  </si>
  <si>
    <t xml:space="preserve">There are "portable" air-curtain incinerators that could potentially be used to dispose of carcasses. </t>
  </si>
  <si>
    <t>Distance to incineration plant [miles]</t>
  </si>
  <si>
    <t>Distance to permitted landfill [miles]</t>
  </si>
  <si>
    <t>Spray Carcass (see Note below)</t>
  </si>
  <si>
    <t>Special Design Intermodal Container (see Note below)</t>
  </si>
  <si>
    <t>Special Design Truck (see Note below)</t>
  </si>
  <si>
    <t>Dump Truck or Render Haul Truck with Liner (see Note below)</t>
  </si>
  <si>
    <t>6200 gal liquid tanker (see Note below)</t>
  </si>
  <si>
    <t>Note: there will likely be overlap in the schedules for preparation, transportation, and landfill processing, not taken into account here, but should be so in the software version of this toolset.</t>
  </si>
  <si>
    <t>Note: there will likely be overlap in the schedules for preparation, transportation, and incineration processing, not taken into account here, but should be so in the software version of this toolset.</t>
  </si>
  <si>
    <t>$ per animal</t>
  </si>
  <si>
    <t>More to come in the future!</t>
  </si>
  <si>
    <t>Sampling rate per team [samples per hour]</t>
  </si>
  <si>
    <t>Laboratory throughput [samples per day]</t>
  </si>
  <si>
    <t>GIS Inputs</t>
  </si>
  <si>
    <t>Equipment, Supplies and O&amp;M Cost</t>
  </si>
  <si>
    <t>Total Cost of Equipment, Supplies and O&amp;M</t>
  </si>
  <si>
    <t xml:space="preserve">Captive Bolt Stunner </t>
  </si>
  <si>
    <t>9mm Captive Bolt stunner</t>
  </si>
  <si>
    <t>http://www.enasco.com/product/Z46750N</t>
  </si>
  <si>
    <t>Scenario Notes</t>
  </si>
  <si>
    <t>This spreadsheet can be used to create scenarios for FMD 3D analyses.  Use this worksheet to describe the scenario and document assumptions.</t>
  </si>
  <si>
    <r>
      <rPr>
        <b/>
        <u/>
        <sz val="11"/>
        <color theme="1"/>
        <rFont val="Calibri"/>
        <family val="2"/>
        <scheme val="minor"/>
      </rPr>
      <t>Description</t>
    </r>
    <r>
      <rPr>
        <sz val="11"/>
        <color theme="1"/>
        <rFont val="Calibri"/>
        <family val="2"/>
        <scheme val="minor"/>
      </rPr>
      <t xml:space="preserve">:
This scenario is based in part on the number of cattle in Deaf Smith County, TX.  From a USDA database, it appears that Deaf Smith County has the largest number of cattle than any other County in Texas.  That number is approximately 920,000 as of a survey in 2007.   </t>
    </r>
  </si>
  <si>
    <t>Windrows are constructed for the composting operation, dimensions and capacity assumptions shown below.  A summary table further down in this sheet tallies the number of windrows needed and the total acreage needed for composting all of the livestock.</t>
  </si>
  <si>
    <t>Burial trenches are constructed for the disposal operation, dimensions and capacity assumptions shown below. A summary table further down in this sheet tallies the number of burial trenches needed and the total acreage needed for burying ing all of the livestock.</t>
  </si>
  <si>
    <t>These specifications are being used to define the functionality of a module of a more comprehensive decision support tool, called PATH/AWARE.</t>
  </si>
  <si>
    <t>This spreadsheet contains specifications for an agricultural security module intended to aid decision makers who have to deal with the potential depopulation, disinfection, and disposal (3D) of livestock following an outbreak of Foot and Mouth Disease (FMD).</t>
  </si>
  <si>
    <t>Disposal Fee</t>
  </si>
  <si>
    <t>Disposal fee for Infected Zone</t>
  </si>
  <si>
    <t>Disposal fee for Buffer Zone</t>
  </si>
  <si>
    <t>Total Disposal Fee</t>
  </si>
  <si>
    <t xml:space="preserve">6000 windrows in infected zone with 65 cows/windrow = </t>
  </si>
  <si>
    <t>cows in infected zone or 390,000,000 pounds</t>
  </si>
  <si>
    <t>cost per pound</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</si>
</sst>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4" formatCode="_(&quot;$&quot;* #,##0.00_);_(&quot;$&quot;* \(#,##0.00\);_(&quot;$&quot;* &quot;-&quot;??_);_(@_)"/>
    <numFmt numFmtId="164" formatCode="&quot;$&quot;#,##0"/>
    <numFmt numFmtId="165" formatCode="0.0"/>
    <numFmt numFmtId="166" formatCode="&quot;per&quot;\ 000"/>
    <numFmt numFmtId="167" formatCode="&quot;$&quot;#,##0.00"/>
    <numFmt numFmtId="168" formatCode="0.000"/>
    <numFmt numFmtId="169" formatCode="0.0000"/>
    <numFmt numFmtId="170"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8"/>
      <color indexed="81"/>
      <name val="Tahoma"/>
      <family val="2"/>
    </font>
    <font>
      <sz val="8"/>
      <color indexed="81"/>
      <name val="Tahoma"/>
      <family val="2"/>
    </font>
    <font>
      <sz val="11"/>
      <name val="Calibri"/>
      <family val="2"/>
      <scheme val="minor"/>
    </font>
    <font>
      <sz val="9"/>
      <color indexed="81"/>
      <name val="Tahoma"/>
      <family val="2"/>
    </font>
    <font>
      <b/>
      <sz val="9"/>
      <color indexed="81"/>
      <name val="Tahoma"/>
      <family val="2"/>
    </font>
    <font>
      <sz val="11"/>
      <color rgb="FF9C0006"/>
      <name val="Calibri"/>
      <family val="2"/>
      <scheme val="minor"/>
    </font>
    <font>
      <sz val="10"/>
      <name val="Arial"/>
      <family val="2"/>
    </font>
    <font>
      <b/>
      <sz val="8"/>
      <color rgb="FF000000"/>
      <name val="Tahoma"/>
      <family val="2"/>
    </font>
    <font>
      <sz val="8"/>
      <color rgb="FF000000"/>
      <name val="Tahoma"/>
      <family val="2"/>
    </font>
    <font>
      <sz val="11"/>
      <name val="Calibri"/>
      <family val="2"/>
    </font>
    <font>
      <sz val="10"/>
      <color theme="1"/>
      <name val="Calibri"/>
      <family val="2"/>
      <scheme val="minor"/>
    </font>
    <font>
      <b/>
      <sz val="16"/>
      <name val="Calibri"/>
      <family val="2"/>
      <scheme val="minor"/>
    </font>
    <font>
      <b/>
      <sz val="16"/>
      <color theme="1"/>
      <name val="Calibri"/>
      <family val="2"/>
      <scheme val="minor"/>
    </font>
    <font>
      <u/>
      <sz val="11"/>
      <color theme="10"/>
      <name val="Calibri"/>
      <family val="2"/>
      <scheme val="minor"/>
    </font>
    <font>
      <b/>
      <sz val="11"/>
      <name val="Calibri"/>
      <family val="2"/>
      <scheme val="minor"/>
    </font>
    <font>
      <sz val="11"/>
      <color indexed="8"/>
      <name val="Calibri"/>
      <family val="2"/>
      <scheme val="minor"/>
    </font>
    <font>
      <u/>
      <sz val="11"/>
      <name val="Calibri"/>
      <family val="2"/>
      <scheme val="minor"/>
    </font>
    <font>
      <sz val="11"/>
      <color indexed="63"/>
      <name val="Calibri"/>
      <family val="2"/>
      <scheme val="minor"/>
    </font>
    <font>
      <b/>
      <i/>
      <sz val="11"/>
      <color theme="1"/>
      <name val="Calibri"/>
      <family val="2"/>
      <scheme val="minor"/>
    </font>
    <font>
      <sz val="12"/>
      <color theme="1"/>
      <name val="Times New Roman"/>
      <family val="1"/>
    </font>
    <font>
      <sz val="11"/>
      <color theme="1"/>
      <name val="Times New Roman"/>
      <family val="1"/>
    </font>
    <font>
      <sz val="12"/>
      <color theme="1"/>
      <name val="Calibri"/>
      <family val="2"/>
      <scheme val="minor"/>
    </font>
    <font>
      <b/>
      <sz val="16"/>
      <color theme="1"/>
      <name val="Comic Sans MS"/>
      <family val="4"/>
    </font>
    <font>
      <sz val="14"/>
      <color theme="1"/>
      <name val="Calibri"/>
      <family val="2"/>
      <scheme val="minor"/>
    </font>
    <font>
      <b/>
      <sz val="14"/>
      <color theme="3" tint="-0.249977111117893"/>
      <name val="Calibri"/>
      <family val="2"/>
      <scheme val="minor"/>
    </font>
    <font>
      <b/>
      <sz val="11"/>
      <color theme="3" tint="-0.249977111117893"/>
      <name val="Calibri"/>
      <family val="2"/>
      <scheme val="minor"/>
    </font>
    <font>
      <i/>
      <sz val="10"/>
      <name val="Arial"/>
      <family val="2"/>
    </font>
    <font>
      <sz val="10"/>
      <name val="Arial"/>
      <family val="2"/>
    </font>
    <font>
      <b/>
      <u/>
      <sz val="14"/>
      <name val="Arial"/>
      <family val="2"/>
    </font>
    <font>
      <b/>
      <sz val="24"/>
      <color theme="1"/>
      <name val="Comic Sans MS"/>
      <family val="4"/>
    </font>
    <font>
      <b/>
      <u/>
      <sz val="11"/>
      <color theme="1"/>
      <name val="Calibri"/>
      <family val="2"/>
      <scheme val="minor"/>
    </font>
  </fonts>
  <fills count="24">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7CE"/>
      </patternFill>
    </fill>
    <fill>
      <patternFill patternType="solid">
        <fgColor theme="0"/>
        <bgColor indexed="64"/>
      </patternFill>
    </fill>
    <fill>
      <patternFill patternType="solid">
        <fgColor theme="0"/>
        <bgColor rgb="FFFFFFFF"/>
      </patternFill>
    </fill>
    <fill>
      <patternFill patternType="solid">
        <fgColor theme="0"/>
        <bgColor rgb="FF000000"/>
      </patternFill>
    </fill>
    <fill>
      <patternFill patternType="solid">
        <fgColor indexed="2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41"/>
        <bgColor indexed="64"/>
      </patternFill>
    </fill>
    <fill>
      <patternFill patternType="solid">
        <fgColor indexed="42"/>
        <bgColor indexed="64"/>
      </patternFill>
    </fill>
    <fill>
      <patternFill patternType="solid">
        <fgColor rgb="FFCCFFFF"/>
        <bgColor rgb="FF000000"/>
      </patternFill>
    </fill>
    <fill>
      <patternFill patternType="solid">
        <fgColor rgb="FFC0C0C0"/>
        <bgColor rgb="FF000000"/>
      </patternFill>
    </fill>
    <fill>
      <patternFill patternType="solid">
        <fgColor rgb="FFCCFFCC"/>
        <bgColor rgb="FF000000"/>
      </patternFill>
    </fill>
    <fill>
      <patternFill patternType="solid">
        <fgColor rgb="FFFFCC99"/>
        <bgColor rgb="FF000000"/>
      </patternFill>
    </fill>
    <fill>
      <patternFill patternType="solid">
        <fgColor indexed="4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s>
  <cellStyleXfs count="5">
    <xf numFmtId="0" fontId="0" fillId="0" borderId="0"/>
    <xf numFmtId="44" fontId="1" fillId="0" borderId="0" applyFont="0" applyFill="0" applyBorder="0" applyAlignment="0" applyProtection="0"/>
    <xf numFmtId="0" fontId="10" fillId="7" borderId="0" applyNumberFormat="0" applyBorder="0" applyAlignment="0" applyProtection="0"/>
    <xf numFmtId="0" fontId="18" fillId="0" borderId="0" applyNumberFormat="0" applyFill="0" applyBorder="0" applyAlignment="0" applyProtection="0"/>
    <xf numFmtId="9" fontId="1" fillId="0" borderId="0" applyFont="0" applyFill="0" applyBorder="0" applyAlignment="0" applyProtection="0"/>
  </cellStyleXfs>
  <cellXfs count="583">
    <xf numFmtId="0" fontId="0" fillId="0" borderId="0" xfId="0"/>
    <xf numFmtId="44" fontId="0" fillId="0" borderId="1" xfId="1" applyFont="1" applyBorder="1"/>
    <xf numFmtId="0" fontId="0" fillId="0" borderId="1" xfId="0" applyBorder="1"/>
    <xf numFmtId="164" fontId="0" fillId="0" borderId="1" xfId="0" applyNumberFormat="1" applyBorder="1"/>
    <xf numFmtId="0" fontId="0" fillId="0" borderId="1" xfId="0" applyFill="1" applyBorder="1"/>
    <xf numFmtId="44" fontId="0" fillId="0" borderId="1" xfId="1" applyFont="1" applyFill="1" applyBorder="1"/>
    <xf numFmtId="164" fontId="0" fillId="0" borderId="0" xfId="0" applyNumberFormat="1"/>
    <xf numFmtId="4" fontId="0" fillId="0" borderId="0" xfId="0" applyNumberFormat="1"/>
    <xf numFmtId="0" fontId="0" fillId="0" borderId="0" xfId="0" applyBorder="1"/>
    <xf numFmtId="0" fontId="0" fillId="0" borderId="0" xfId="0" applyFill="1" applyBorder="1"/>
    <xf numFmtId="0" fontId="4" fillId="0" borderId="0" xfId="0" applyFont="1" applyFill="1" applyBorder="1"/>
    <xf numFmtId="0" fontId="0" fillId="0" borderId="1" xfId="0" applyBorder="1" applyAlignment="1">
      <alignment horizontal="center"/>
    </xf>
    <xf numFmtId="0" fontId="0" fillId="0" borderId="0" xfId="0" applyAlignment="1">
      <alignment wrapText="1"/>
    </xf>
    <xf numFmtId="0" fontId="2" fillId="0" borderId="0" xfId="0" applyFont="1" applyFill="1"/>
    <xf numFmtId="0" fontId="0" fillId="0" borderId="2" xfId="0" applyBorder="1"/>
    <xf numFmtId="1" fontId="0" fillId="0" borderId="1" xfId="0" applyNumberFormat="1" applyBorder="1"/>
    <xf numFmtId="0" fontId="2" fillId="0" borderId="1" xfId="0" applyFon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 fillId="0" borderId="0" xfId="0" applyFont="1"/>
    <xf numFmtId="0" fontId="0" fillId="5" borderId="1" xfId="0" applyFill="1" applyBorder="1"/>
    <xf numFmtId="0" fontId="0" fillId="0" borderId="0" xfId="0" applyAlignment="1">
      <alignment horizontal="center"/>
    </xf>
    <xf numFmtId="44" fontId="0" fillId="0" borderId="1" xfId="1" applyFont="1" applyBorder="1" applyAlignment="1">
      <alignment horizontal="center"/>
    </xf>
    <xf numFmtId="164" fontId="0" fillId="0" borderId="1" xfId="0" applyNumberFormat="1" applyBorder="1" applyAlignment="1">
      <alignment horizontal="center"/>
    </xf>
    <xf numFmtId="44" fontId="0" fillId="2" borderId="1" xfId="1" applyFont="1" applyFill="1" applyBorder="1" applyAlignment="1">
      <alignment horizontal="center"/>
    </xf>
    <xf numFmtId="164" fontId="0" fillId="5" borderId="1" xfId="0" applyNumberFormat="1" applyFill="1" applyBorder="1" applyAlignment="1">
      <alignment horizontal="center"/>
    </xf>
    <xf numFmtId="0" fontId="0" fillId="0" borderId="1" xfId="0" applyFill="1" applyBorder="1" applyAlignment="1">
      <alignment horizontal="center"/>
    </xf>
    <xf numFmtId="165" fontId="0" fillId="2" borderId="1" xfId="0" applyNumberFormat="1" applyFill="1" applyBorder="1" applyAlignment="1">
      <alignment horizontal="center"/>
    </xf>
    <xf numFmtId="44" fontId="0" fillId="0" borderId="1" xfId="1" applyFont="1" applyFill="1" applyBorder="1" applyAlignment="1">
      <alignment horizontal="center"/>
    </xf>
    <xf numFmtId="1" fontId="0" fillId="0" borderId="1" xfId="0" applyNumberFormat="1" applyFill="1" applyBorder="1" applyAlignment="1">
      <alignment horizontal="center"/>
    </xf>
    <xf numFmtId="165" fontId="0" fillId="0" borderId="1" xfId="0" applyNumberFormat="1" applyFill="1" applyBorder="1" applyAlignment="1">
      <alignment horizontal="center"/>
    </xf>
    <xf numFmtId="164" fontId="0" fillId="0" borderId="1" xfId="0" applyNumberFormat="1" applyFill="1" applyBorder="1" applyAlignment="1">
      <alignment horizontal="center"/>
    </xf>
    <xf numFmtId="0" fontId="0" fillId="0" borderId="1" xfId="1" applyNumberFormat="1" applyFont="1" applyFill="1" applyBorder="1" applyAlignment="1">
      <alignment horizontal="center"/>
    </xf>
    <xf numFmtId="1" fontId="0" fillId="0" borderId="1" xfId="0" applyNumberFormat="1" applyFill="1" applyBorder="1" applyAlignment="1">
      <alignment horizontal="center" wrapText="1"/>
    </xf>
    <xf numFmtId="44" fontId="0" fillId="0" borderId="0" xfId="1" applyFont="1" applyFill="1" applyBorder="1" applyAlignment="1">
      <alignment horizontal="center"/>
    </xf>
    <xf numFmtId="0" fontId="0" fillId="0" borderId="0" xfId="0" applyFill="1" applyBorder="1" applyAlignment="1">
      <alignment horizontal="center"/>
    </xf>
    <xf numFmtId="164" fontId="0" fillId="0" borderId="0" xfId="0" applyNumberFormat="1" applyFill="1" applyBorder="1" applyAlignment="1">
      <alignment horizontal="center"/>
    </xf>
    <xf numFmtId="0" fontId="0" fillId="0" borderId="0" xfId="0" applyFill="1" applyAlignment="1">
      <alignment horizontal="center"/>
    </xf>
    <xf numFmtId="4" fontId="0" fillId="0" borderId="0" xfId="0" applyNumberFormat="1" applyFill="1" applyAlignment="1">
      <alignment horizontal="center"/>
    </xf>
    <xf numFmtId="0" fontId="2" fillId="6" borderId="1" xfId="0" applyFont="1" applyFill="1" applyBorder="1" applyAlignment="1">
      <alignment horizontal="center"/>
    </xf>
    <xf numFmtId="44" fontId="0" fillId="6" borderId="1" xfId="1" applyFont="1" applyFill="1" applyBorder="1" applyAlignment="1">
      <alignment horizontal="center"/>
    </xf>
    <xf numFmtId="0" fontId="2" fillId="6" borderId="1" xfId="0" applyFont="1" applyFill="1" applyBorder="1"/>
    <xf numFmtId="1" fontId="0" fillId="6" borderId="1" xfId="0" applyNumberFormat="1" applyFill="1" applyBorder="1" applyAlignment="1">
      <alignment horizontal="center"/>
    </xf>
    <xf numFmtId="0" fontId="7" fillId="0" borderId="1" xfId="0" applyFont="1" applyBorder="1"/>
    <xf numFmtId="164" fontId="0" fillId="5" borderId="1" xfId="0" applyNumberFormat="1" applyFill="1" applyBorder="1"/>
    <xf numFmtId="165" fontId="0" fillId="0" borderId="1" xfId="0" applyNumberFormat="1" applyBorder="1" applyAlignment="1">
      <alignment horizontal="center"/>
    </xf>
    <xf numFmtId="0" fontId="11" fillId="0" borderId="1" xfId="0" applyFont="1" applyFill="1" applyBorder="1"/>
    <xf numFmtId="1" fontId="11" fillId="0" borderId="1" xfId="0" applyNumberFormat="1" applyFont="1" applyFill="1" applyBorder="1"/>
    <xf numFmtId="44" fontId="11" fillId="0" borderId="1" xfId="1" applyFont="1" applyFill="1" applyBorder="1"/>
    <xf numFmtId="0" fontId="11" fillId="0" borderId="0" xfId="0" applyFont="1" applyFill="1" applyBorder="1"/>
    <xf numFmtId="0" fontId="3" fillId="0" borderId="0" xfId="0" applyFont="1" applyFill="1" applyBorder="1"/>
    <xf numFmtId="164" fontId="11" fillId="0" borderId="1" xfId="0" applyNumberFormat="1" applyFont="1" applyFill="1" applyBorder="1"/>
    <xf numFmtId="0" fontId="3" fillId="0" borderId="0" xfId="0" applyFont="1"/>
    <xf numFmtId="44" fontId="0" fillId="0" borderId="0" xfId="0" applyNumberFormat="1"/>
    <xf numFmtId="1" fontId="0" fillId="0" borderId="0" xfId="0" applyNumberFormat="1"/>
    <xf numFmtId="0" fontId="0" fillId="8" borderId="1" xfId="0" applyFill="1" applyBorder="1" applyAlignment="1">
      <alignment horizontal="center"/>
    </xf>
    <xf numFmtId="1" fontId="0" fillId="8" borderId="1" xfId="0" applyNumberFormat="1" applyFill="1" applyBorder="1" applyAlignment="1">
      <alignment horizontal="center"/>
    </xf>
    <xf numFmtId="0" fontId="0" fillId="0" borderId="1" xfId="0" applyFill="1" applyBorder="1" applyAlignment="1">
      <alignment wrapText="1"/>
    </xf>
    <xf numFmtId="0" fontId="7" fillId="0" borderId="0" xfId="0" applyFont="1"/>
    <xf numFmtId="0" fontId="7" fillId="8" borderId="1" xfId="2" applyFont="1" applyFill="1" applyBorder="1"/>
    <xf numFmtId="1" fontId="0" fillId="0" borderId="1" xfId="0" applyNumberFormat="1" applyBorder="1" applyAlignment="1">
      <alignment horizontal="center"/>
    </xf>
    <xf numFmtId="0" fontId="7" fillId="0" borderId="7" xfId="0" applyFont="1" applyBorder="1"/>
    <xf numFmtId="0" fontId="7" fillId="8" borderId="10" xfId="2" applyFont="1" applyFill="1" applyBorder="1"/>
    <xf numFmtId="0" fontId="0" fillId="0" borderId="2" xfId="0" applyFont="1" applyBorder="1" applyAlignment="1">
      <alignment horizontal="left" vertical="center" wrapText="1"/>
    </xf>
    <xf numFmtId="0" fontId="16" fillId="0" borderId="15" xfId="0" applyFont="1" applyBorder="1"/>
    <xf numFmtId="0" fontId="17" fillId="0" borderId="15" xfId="0" applyFont="1" applyBorder="1"/>
    <xf numFmtId="44" fontId="0" fillId="8" borderId="1" xfId="1" applyFont="1" applyFill="1" applyBorder="1"/>
    <xf numFmtId="1" fontId="0" fillId="8" borderId="1" xfId="0" applyNumberFormat="1" applyFill="1" applyBorder="1"/>
    <xf numFmtId="0" fontId="2" fillId="8" borderId="1" xfId="0" applyFont="1" applyFill="1" applyBorder="1" applyAlignment="1">
      <alignment horizontal="center"/>
    </xf>
    <xf numFmtId="164" fontId="2" fillId="8" borderId="1" xfId="0" applyNumberFormat="1" applyFont="1" applyFill="1" applyBorder="1" applyAlignment="1">
      <alignment horizontal="center"/>
    </xf>
    <xf numFmtId="164" fontId="0" fillId="8" borderId="1" xfId="0" applyNumberFormat="1" applyFill="1" applyBorder="1" applyAlignment="1">
      <alignment horizontal="center"/>
    </xf>
    <xf numFmtId="0" fontId="0" fillId="0" borderId="1" xfId="0" applyBorder="1" applyAlignment="1">
      <alignment wrapText="1"/>
    </xf>
    <xf numFmtId="0" fontId="0" fillId="0" borderId="0" xfId="0" applyFont="1" applyAlignment="1">
      <alignment horizontal="center"/>
    </xf>
    <xf numFmtId="0" fontId="0" fillId="8" borderId="1" xfId="0" applyFill="1" applyBorder="1"/>
    <xf numFmtId="0" fontId="0" fillId="8" borderId="1" xfId="0" applyFill="1" applyBorder="1" applyAlignment="1"/>
    <xf numFmtId="0" fontId="0" fillId="0" borderId="1" xfId="0" applyBorder="1" applyAlignment="1"/>
    <xf numFmtId="0" fontId="2" fillId="8" borderId="1" xfId="0" applyFont="1" applyFill="1" applyBorder="1" applyAlignment="1"/>
    <xf numFmtId="0" fontId="7" fillId="8" borderId="1" xfId="0" applyFont="1" applyFill="1" applyBorder="1"/>
    <xf numFmtId="0" fontId="0" fillId="0" borderId="1" xfId="0" applyFont="1" applyBorder="1" applyAlignment="1">
      <alignment wrapText="1"/>
    </xf>
    <xf numFmtId="0" fontId="0" fillId="0" borderId="1" xfId="0" quotePrefix="1" applyFont="1" applyBorder="1" applyAlignment="1">
      <alignment wrapText="1"/>
    </xf>
    <xf numFmtId="0" fontId="0" fillId="0" borderId="0" xfId="0" applyFont="1" applyFill="1" applyBorder="1"/>
    <xf numFmtId="0" fontId="0" fillId="0" borderId="1" xfId="0" applyFont="1" applyBorder="1"/>
    <xf numFmtId="0" fontId="0" fillId="0" borderId="1" xfId="0" quotePrefix="1" applyFont="1" applyBorder="1"/>
    <xf numFmtId="1" fontId="0" fillId="0" borderId="1" xfId="0" applyNumberFormat="1" applyFont="1" applyBorder="1"/>
    <xf numFmtId="0" fontId="0" fillId="0" borderId="0" xfId="0" applyFont="1" applyBorder="1"/>
    <xf numFmtId="0" fontId="0" fillId="0" borderId="1" xfId="0" applyFont="1" applyBorder="1" applyAlignment="1">
      <alignment horizontal="center"/>
    </xf>
    <xf numFmtId="0" fontId="0" fillId="0" borderId="1" xfId="0" applyFont="1" applyFill="1" applyBorder="1" applyAlignment="1">
      <alignment wrapText="1"/>
    </xf>
    <xf numFmtId="0" fontId="19" fillId="11" borderId="1" xfId="0" applyFont="1" applyFill="1" applyBorder="1" applyAlignment="1">
      <alignment wrapText="1"/>
    </xf>
    <xf numFmtId="0" fontId="7" fillId="11" borderId="1" xfId="0" applyFont="1" applyFill="1" applyBorder="1" applyAlignment="1">
      <alignment horizontal="center" wrapText="1"/>
    </xf>
    <xf numFmtId="44" fontId="7" fillId="8" borderId="1" xfId="1" applyFont="1" applyFill="1" applyBorder="1" applyAlignment="1">
      <alignment horizontal="center" wrapText="1"/>
    </xf>
    <xf numFmtId="0" fontId="7" fillId="0" borderId="1" xfId="0" applyFont="1" applyBorder="1" applyAlignment="1">
      <alignment wrapText="1"/>
    </xf>
    <xf numFmtId="0" fontId="7" fillId="0" borderId="1" xfId="3" applyFont="1" applyBorder="1" applyAlignment="1" applyProtection="1">
      <alignment wrapText="1"/>
    </xf>
    <xf numFmtId="0" fontId="21" fillId="0" borderId="1" xfId="3" applyFont="1" applyBorder="1" applyAlignment="1" applyProtection="1">
      <alignment wrapText="1"/>
    </xf>
    <xf numFmtId="0" fontId="7" fillId="0" borderId="1" xfId="0" applyFont="1" applyBorder="1" applyAlignment="1">
      <alignment horizontal="left" wrapText="1"/>
    </xf>
    <xf numFmtId="0" fontId="7" fillId="0" borderId="1" xfId="0" applyFont="1" applyBorder="1" applyAlignment="1">
      <alignment vertical="top" wrapText="1"/>
    </xf>
    <xf numFmtId="0" fontId="20" fillId="0" borderId="1" xfId="0" applyFont="1" applyBorder="1" applyAlignment="1">
      <alignment wrapText="1"/>
    </xf>
    <xf numFmtId="0" fontId="7" fillId="0" borderId="1" xfId="0" applyNumberFormat="1" applyFont="1" applyBorder="1" applyAlignment="1">
      <alignment wrapText="1"/>
    </xf>
    <xf numFmtId="0" fontId="0" fillId="0" borderId="1" xfId="0" applyBorder="1" applyAlignment="1">
      <alignment horizontal="center" wrapText="1"/>
    </xf>
    <xf numFmtId="0" fontId="0" fillId="0" borderId="0" xfId="0" applyBorder="1" applyAlignment="1">
      <alignment wrapText="1"/>
    </xf>
    <xf numFmtId="0" fontId="0" fillId="0" borderId="0" xfId="0" applyBorder="1" applyAlignment="1">
      <alignment horizontal="center"/>
    </xf>
    <xf numFmtId="0" fontId="0" fillId="4" borderId="1" xfId="0" applyFill="1" applyBorder="1" applyAlignment="1">
      <alignment horizontal="center"/>
    </xf>
    <xf numFmtId="166" fontId="0" fillId="0" borderId="1" xfId="0" applyNumberFormat="1" applyBorder="1" applyAlignment="1">
      <alignment horizontal="center"/>
    </xf>
    <xf numFmtId="0" fontId="0" fillId="0" borderId="0" xfId="0" applyAlignment="1"/>
    <xf numFmtId="1" fontId="0" fillId="0" borderId="1" xfId="0" applyNumberFormat="1" applyFill="1" applyBorder="1" applyAlignment="1">
      <alignment wrapText="1"/>
    </xf>
    <xf numFmtId="0" fontId="0" fillId="3" borderId="1" xfId="1" applyNumberFormat="1" applyFont="1" applyFill="1" applyBorder="1" applyAlignment="1">
      <alignment horizontal="center"/>
    </xf>
    <xf numFmtId="164" fontId="2" fillId="8" borderId="1" xfId="0" applyNumberFormat="1" applyFont="1" applyFill="1" applyBorder="1" applyAlignment="1"/>
    <xf numFmtId="1" fontId="0" fillId="5" borderId="1" xfId="0" applyNumberFormat="1" applyFill="1" applyBorder="1" applyAlignment="1">
      <alignment horizontal="center"/>
    </xf>
    <xf numFmtId="0" fontId="0" fillId="5" borderId="1" xfId="0" applyFill="1" applyBorder="1" applyAlignment="1">
      <alignment horizontal="center"/>
    </xf>
    <xf numFmtId="0" fontId="0" fillId="5" borderId="1" xfId="0" applyNumberFormat="1" applyFill="1" applyBorder="1" applyAlignment="1">
      <alignment horizontal="center"/>
    </xf>
    <xf numFmtId="44" fontId="0" fillId="5" borderId="1" xfId="0" applyNumberFormat="1" applyFill="1" applyBorder="1" applyAlignment="1">
      <alignment horizontal="center"/>
    </xf>
    <xf numFmtId="44" fontId="0" fillId="5" borderId="1" xfId="1" applyFont="1" applyFill="1" applyBorder="1" applyAlignment="1">
      <alignment horizontal="center"/>
    </xf>
    <xf numFmtId="0" fontId="0" fillId="5" borderId="13" xfId="0" applyFont="1" applyFill="1" applyBorder="1" applyAlignment="1">
      <alignment horizontal="left" vertical="center" wrapText="1"/>
    </xf>
    <xf numFmtId="44" fontId="0" fillId="5" borderId="1" xfId="0" applyNumberFormat="1" applyFill="1" applyBorder="1" applyAlignment="1">
      <alignment horizontal="center" wrapText="1"/>
    </xf>
    <xf numFmtId="0" fontId="17" fillId="0" borderId="15" xfId="0" applyFont="1" applyBorder="1" applyAlignment="1">
      <alignment wrapText="1"/>
    </xf>
    <xf numFmtId="0" fontId="7" fillId="0" borderId="0" xfId="0" applyFont="1" applyAlignment="1">
      <alignment wrapText="1"/>
    </xf>
    <xf numFmtId="0" fontId="7" fillId="0" borderId="0" xfId="0" applyFont="1" applyAlignment="1"/>
    <xf numFmtId="0" fontId="23" fillId="6" borderId="16" xfId="0" applyFont="1" applyFill="1" applyBorder="1" applyAlignment="1">
      <alignment horizontal="center"/>
    </xf>
    <xf numFmtId="0" fontId="0" fillId="0" borderId="19" xfId="0" applyBorder="1"/>
    <xf numFmtId="0" fontId="0" fillId="0" borderId="20" xfId="0" applyBorder="1"/>
    <xf numFmtId="0" fontId="0" fillId="0" borderId="21" xfId="0" applyBorder="1"/>
    <xf numFmtId="0" fontId="0" fillId="0" borderId="14" xfId="0" applyBorder="1"/>
    <xf numFmtId="0" fontId="0" fillId="0" borderId="22" xfId="0" applyBorder="1"/>
    <xf numFmtId="0" fontId="0" fillId="0" borderId="25" xfId="0" applyBorder="1"/>
    <xf numFmtId="0" fontId="0" fillId="0" borderId="26" xfId="0" applyFill="1" applyBorder="1"/>
    <xf numFmtId="0" fontId="0" fillId="0" borderId="27" xfId="0" applyBorder="1"/>
    <xf numFmtId="0" fontId="2" fillId="13" borderId="28" xfId="0" applyFont="1" applyFill="1" applyBorder="1"/>
    <xf numFmtId="0" fontId="0" fillId="0" borderId="29" xfId="0" applyBorder="1"/>
    <xf numFmtId="0" fontId="0" fillId="0" borderId="30" xfId="0" applyBorder="1"/>
    <xf numFmtId="0" fontId="0" fillId="0" borderId="31" xfId="0" applyBorder="1"/>
    <xf numFmtId="0" fontId="0" fillId="0" borderId="32" xfId="0" applyBorder="1"/>
    <xf numFmtId="0" fontId="2" fillId="0" borderId="24" xfId="0" applyFont="1" applyBorder="1"/>
    <xf numFmtId="0" fontId="2" fillId="0" borderId="18" xfId="0" applyFont="1" applyBorder="1"/>
    <xf numFmtId="0" fontId="0" fillId="0" borderId="33" xfId="0" applyBorder="1"/>
    <xf numFmtId="0" fontId="23" fillId="6" borderId="34" xfId="0" applyFont="1" applyFill="1" applyBorder="1" applyAlignment="1">
      <alignment horizontal="center"/>
    </xf>
    <xf numFmtId="0" fontId="23" fillId="6" borderId="35" xfId="0" applyFont="1" applyFill="1" applyBorder="1" applyAlignment="1">
      <alignment horizontal="center"/>
    </xf>
    <xf numFmtId="0" fontId="2" fillId="0" borderId="13" xfId="0" applyFont="1" applyBorder="1"/>
    <xf numFmtId="0" fontId="0" fillId="5" borderId="26" xfId="0" applyFill="1" applyBorder="1"/>
    <xf numFmtId="0" fontId="0" fillId="12" borderId="29" xfId="0" applyFill="1" applyBorder="1"/>
    <xf numFmtId="0" fontId="0" fillId="12" borderId="30" xfId="0" applyFill="1" applyBorder="1"/>
    <xf numFmtId="0" fontId="0" fillId="13" borderId="29" xfId="0" applyFill="1" applyBorder="1"/>
    <xf numFmtId="0" fontId="0" fillId="13" borderId="30" xfId="0" applyFill="1" applyBorder="1"/>
    <xf numFmtId="0" fontId="0" fillId="13" borderId="22" xfId="0" applyFill="1" applyBorder="1"/>
    <xf numFmtId="0" fontId="0" fillId="13" borderId="32" xfId="0" applyFill="1" applyBorder="1"/>
    <xf numFmtId="0" fontId="0" fillId="13" borderId="21" xfId="0" applyFill="1" applyBorder="1"/>
    <xf numFmtId="0" fontId="0" fillId="13" borderId="0" xfId="0" applyFill="1" applyBorder="1"/>
    <xf numFmtId="0" fontId="0" fillId="13" borderId="25" xfId="0" applyFill="1" applyBorder="1"/>
    <xf numFmtId="0" fontId="0" fillId="13" borderId="31" xfId="0" applyFill="1" applyBorder="1"/>
    <xf numFmtId="0" fontId="0" fillId="0" borderId="16" xfId="0" applyFill="1" applyBorder="1"/>
    <xf numFmtId="0" fontId="0" fillId="0" borderId="23" xfId="0" applyBorder="1"/>
    <xf numFmtId="0" fontId="23" fillId="6" borderId="17" xfId="0" applyFont="1" applyFill="1" applyBorder="1" applyAlignment="1">
      <alignment horizontal="center"/>
    </xf>
    <xf numFmtId="0" fontId="23" fillId="6" borderId="36" xfId="0" applyFont="1" applyFill="1" applyBorder="1" applyAlignment="1">
      <alignment horizontal="center"/>
    </xf>
    <xf numFmtId="0" fontId="0" fillId="0" borderId="37" xfId="0" applyBorder="1"/>
    <xf numFmtId="0" fontId="0" fillId="0" borderId="38" xfId="0" applyBorder="1"/>
    <xf numFmtId="0" fontId="0" fillId="0" borderId="39" xfId="0" applyBorder="1"/>
    <xf numFmtId="0" fontId="2" fillId="12" borderId="28" xfId="0" applyFont="1" applyFill="1" applyBorder="1"/>
    <xf numFmtId="0" fontId="0" fillId="12" borderId="22" xfId="0" applyFill="1" applyBorder="1"/>
    <xf numFmtId="0" fontId="0" fillId="12" borderId="32" xfId="0" applyFill="1" applyBorder="1"/>
    <xf numFmtId="0" fontId="0" fillId="12" borderId="25" xfId="0" applyFill="1" applyBorder="1"/>
    <xf numFmtId="0" fontId="0" fillId="12" borderId="31" xfId="0" applyFill="1" applyBorder="1"/>
    <xf numFmtId="0" fontId="0" fillId="0" borderId="36" xfId="0" applyBorder="1"/>
    <xf numFmtId="0" fontId="0" fillId="8" borderId="37" xfId="0" applyFill="1" applyBorder="1"/>
    <xf numFmtId="0" fontId="0" fillId="8" borderId="38" xfId="0" applyFill="1" applyBorder="1"/>
    <xf numFmtId="0" fontId="0" fillId="14" borderId="25" xfId="0" applyFill="1" applyBorder="1"/>
    <xf numFmtId="0" fontId="0" fillId="14" borderId="31" xfId="0" applyFill="1" applyBorder="1"/>
    <xf numFmtId="0" fontId="0" fillId="14" borderId="32" xfId="0" applyFill="1" applyBorder="1"/>
    <xf numFmtId="0" fontId="0" fillId="14" borderId="30" xfId="0" applyFill="1" applyBorder="1"/>
    <xf numFmtId="0" fontId="0" fillId="14" borderId="22" xfId="0" applyFill="1" applyBorder="1"/>
    <xf numFmtId="0" fontId="2" fillId="14" borderId="28" xfId="0" applyFont="1" applyFill="1" applyBorder="1"/>
    <xf numFmtId="0" fontId="0" fillId="14" borderId="29" xfId="0" applyFill="1" applyBorder="1"/>
    <xf numFmtId="0" fontId="7" fillId="3" borderId="13" xfId="0" applyFont="1" applyFill="1" applyBorder="1" applyAlignment="1">
      <alignment horizontal="center"/>
    </xf>
    <xf numFmtId="0" fontId="24" fillId="0" borderId="0" xfId="0" applyFont="1" applyBorder="1" applyAlignment="1">
      <alignment vertical="top"/>
    </xf>
    <xf numFmtId="0" fontId="0" fillId="0" borderId="28" xfId="0" applyBorder="1"/>
    <xf numFmtId="0" fontId="0" fillId="0" borderId="13" xfId="0" applyBorder="1"/>
    <xf numFmtId="0" fontId="0" fillId="0" borderId="40" xfId="0" applyBorder="1"/>
    <xf numFmtId="0" fontId="0" fillId="0" borderId="16" xfId="0" applyBorder="1"/>
    <xf numFmtId="0" fontId="0" fillId="5" borderId="16" xfId="0" applyFill="1" applyBorder="1"/>
    <xf numFmtId="44" fontId="0" fillId="0" borderId="22" xfId="1" applyFont="1" applyBorder="1"/>
    <xf numFmtId="44" fontId="0" fillId="0" borderId="1" xfId="0" applyNumberFormat="1" applyBorder="1"/>
    <xf numFmtId="44" fontId="0" fillId="0" borderId="0" xfId="0" applyNumberFormat="1" applyFill="1" applyBorder="1"/>
    <xf numFmtId="44" fontId="0" fillId="0" borderId="0" xfId="0" applyNumberFormat="1" applyBorder="1"/>
    <xf numFmtId="44" fontId="0" fillId="0" borderId="7" xfId="1" applyFont="1" applyFill="1" applyBorder="1"/>
    <xf numFmtId="164" fontId="0" fillId="0" borderId="7" xfId="0" applyNumberFormat="1" applyFill="1" applyBorder="1"/>
    <xf numFmtId="44" fontId="0" fillId="0" borderId="1" xfId="0" applyNumberFormat="1" applyFill="1" applyBorder="1"/>
    <xf numFmtId="44" fontId="0" fillId="0" borderId="0" xfId="1" applyFont="1" applyBorder="1"/>
    <xf numFmtId="44" fontId="0" fillId="0" borderId="0" xfId="1" applyFont="1" applyFill="1" applyBorder="1"/>
    <xf numFmtId="0" fontId="0" fillId="0" borderId="21" xfId="0" applyFill="1" applyBorder="1"/>
    <xf numFmtId="164" fontId="0" fillId="8" borderId="0" xfId="0" applyNumberFormat="1" applyFill="1" applyBorder="1"/>
    <xf numFmtId="164" fontId="0" fillId="0" borderId="0" xfId="0" applyNumberFormat="1" applyBorder="1"/>
    <xf numFmtId="165" fontId="0" fillId="0" borderId="0" xfId="0" applyNumberFormat="1" applyBorder="1" applyAlignment="1">
      <alignment horizontal="center"/>
    </xf>
    <xf numFmtId="0" fontId="15" fillId="0" borderId="0" xfId="0" applyFont="1" applyAlignment="1">
      <alignment horizontal="left" vertical="top" wrapText="1"/>
    </xf>
    <xf numFmtId="0" fontId="0" fillId="13" borderId="1" xfId="0" applyFill="1" applyBorder="1"/>
    <xf numFmtId="165" fontId="0" fillId="13" borderId="19" xfId="0" applyNumberFormat="1" applyFill="1" applyBorder="1" applyAlignment="1">
      <alignment horizontal="center"/>
    </xf>
    <xf numFmtId="165" fontId="0" fillId="13" borderId="1" xfId="0" applyNumberFormat="1" applyFill="1" applyBorder="1" applyAlignment="1">
      <alignment horizontal="center"/>
    </xf>
    <xf numFmtId="165" fontId="0" fillId="13" borderId="26" xfId="0" applyNumberFormat="1" applyFill="1" applyBorder="1" applyAlignment="1">
      <alignment horizontal="center"/>
    </xf>
    <xf numFmtId="44" fontId="0" fillId="13" borderId="20" xfId="1" applyFont="1" applyFill="1" applyBorder="1"/>
    <xf numFmtId="44" fontId="0" fillId="13" borderId="14" xfId="1" applyFont="1" applyFill="1" applyBorder="1"/>
    <xf numFmtId="44" fontId="0" fillId="13" borderId="27" xfId="1" applyFont="1" applyFill="1" applyBorder="1"/>
    <xf numFmtId="44" fontId="0" fillId="13" borderId="7" xfId="1" applyFont="1" applyFill="1" applyBorder="1"/>
    <xf numFmtId="44" fontId="0" fillId="13" borderId="42" xfId="1" applyFont="1" applyFill="1" applyBorder="1"/>
    <xf numFmtId="44" fontId="0" fillId="13" borderId="1" xfId="1" applyFont="1" applyFill="1" applyBorder="1"/>
    <xf numFmtId="44" fontId="0" fillId="13" borderId="1" xfId="0" applyNumberFormat="1" applyFill="1" applyBorder="1"/>
    <xf numFmtId="44" fontId="0" fillId="13" borderId="41" xfId="1" applyFont="1" applyFill="1" applyBorder="1"/>
    <xf numFmtId="164" fontId="0" fillId="13" borderId="10" xfId="0" applyNumberFormat="1" applyFill="1" applyBorder="1"/>
    <xf numFmtId="167" fontId="0" fillId="13" borderId="1" xfId="0" applyNumberFormat="1" applyFill="1" applyBorder="1"/>
    <xf numFmtId="0" fontId="25" fillId="0" borderId="0" xfId="0" applyFont="1" applyBorder="1"/>
    <xf numFmtId="0" fontId="15" fillId="0" borderId="0" xfId="0" applyFont="1" applyAlignment="1">
      <alignment horizontal="left" vertical="top" wrapText="1"/>
    </xf>
    <xf numFmtId="0" fontId="2" fillId="6" borderId="16" xfId="0" applyFont="1" applyFill="1" applyBorder="1" applyAlignment="1">
      <alignment horizontal="center"/>
    </xf>
    <xf numFmtId="165" fontId="0" fillId="13" borderId="10" xfId="0" applyNumberFormat="1" applyFill="1" applyBorder="1" applyAlignment="1">
      <alignment horizontal="center"/>
    </xf>
    <xf numFmtId="165" fontId="0" fillId="13" borderId="43" xfId="0" applyNumberFormat="1" applyFill="1" applyBorder="1" applyAlignment="1">
      <alignment horizontal="center"/>
    </xf>
    <xf numFmtId="0" fontId="2" fillId="0" borderId="0" xfId="0" applyFont="1" applyFill="1" applyBorder="1" applyAlignment="1">
      <alignment horizontal="center"/>
    </xf>
    <xf numFmtId="0" fontId="0" fillId="0" borderId="0" xfId="0" applyFont="1" applyFill="1" applyBorder="1" applyAlignment="1">
      <alignment horizontal="left"/>
    </xf>
    <xf numFmtId="8" fontId="0" fillId="0" borderId="1" xfId="0" applyNumberFormat="1" applyFont="1" applyBorder="1" applyAlignment="1">
      <alignment horizontal="center"/>
    </xf>
    <xf numFmtId="0" fontId="15" fillId="0" borderId="0" xfId="0" applyFont="1" applyFill="1" applyAlignment="1">
      <alignment horizontal="left" vertical="top" wrapText="1"/>
    </xf>
    <xf numFmtId="0" fontId="0" fillId="0" borderId="0" xfId="0" applyFill="1"/>
    <xf numFmtId="0" fontId="0" fillId="0" borderId="0" xfId="0" applyFill="1" applyAlignment="1">
      <alignment wrapText="1"/>
    </xf>
    <xf numFmtId="0" fontId="0" fillId="12" borderId="1" xfId="0" applyFill="1" applyBorder="1" applyAlignment="1">
      <alignment horizontal="center"/>
    </xf>
    <xf numFmtId="44" fontId="0" fillId="12" borderId="1" xfId="1" applyFont="1" applyFill="1" applyBorder="1"/>
    <xf numFmtId="0" fontId="0" fillId="0" borderId="0" xfId="0" applyAlignment="1">
      <alignment horizontal="center" wrapText="1"/>
    </xf>
    <xf numFmtId="164" fontId="0" fillId="13" borderId="1" xfId="0" applyNumberFormat="1" applyFill="1" applyBorder="1"/>
    <xf numFmtId="0" fontId="15" fillId="0" borderId="0" xfId="0" applyFont="1" applyAlignment="1">
      <alignment horizontal="left" vertical="top" wrapText="1"/>
    </xf>
    <xf numFmtId="44" fontId="0" fillId="0" borderId="1" xfId="0" applyNumberFormat="1" applyFill="1" applyBorder="1" applyAlignment="1">
      <alignment horizontal="center"/>
    </xf>
    <xf numFmtId="0" fontId="26" fillId="0" borderId="0" xfId="0" applyFont="1" applyBorder="1" applyAlignment="1">
      <alignment vertical="top"/>
    </xf>
    <xf numFmtId="0" fontId="17" fillId="0" borderId="0" xfId="0" applyFont="1" applyBorder="1"/>
    <xf numFmtId="0" fontId="17" fillId="0" borderId="44" xfId="0" applyFont="1" applyBorder="1"/>
    <xf numFmtId="0" fontId="0" fillId="0" borderId="45" xfId="0" applyBorder="1"/>
    <xf numFmtId="1" fontId="0" fillId="12" borderId="1" xfId="0" applyNumberFormat="1" applyFill="1" applyBorder="1" applyAlignment="1">
      <alignment horizontal="center"/>
    </xf>
    <xf numFmtId="44" fontId="1" fillId="12" borderId="1" xfId="1" applyFont="1" applyFill="1" applyBorder="1"/>
    <xf numFmtId="0" fontId="0" fillId="12" borderId="1" xfId="0" applyFill="1" applyBorder="1"/>
    <xf numFmtId="0" fontId="7" fillId="12" borderId="13" xfId="0" applyFont="1" applyFill="1" applyBorder="1" applyAlignment="1">
      <alignment horizontal="center"/>
    </xf>
    <xf numFmtId="44" fontId="0" fillId="12" borderId="1" xfId="1" applyFont="1" applyFill="1" applyBorder="1" applyAlignment="1">
      <alignment horizontal="center"/>
    </xf>
    <xf numFmtId="165" fontId="0" fillId="12" borderId="1" xfId="0" applyNumberFormat="1" applyFill="1" applyBorder="1" applyAlignment="1">
      <alignment horizontal="center"/>
    </xf>
    <xf numFmtId="0" fontId="0" fillId="12" borderId="1" xfId="0" applyNumberFormat="1" applyFill="1" applyBorder="1" applyAlignment="1">
      <alignment horizontal="center"/>
    </xf>
    <xf numFmtId="168" fontId="0" fillId="12" borderId="1" xfId="0" applyNumberFormat="1" applyFill="1" applyBorder="1" applyAlignment="1">
      <alignment horizontal="center"/>
    </xf>
    <xf numFmtId="0" fontId="0" fillId="12" borderId="1" xfId="1" applyNumberFormat="1" applyFont="1" applyFill="1" applyBorder="1" applyAlignment="1">
      <alignment horizontal="center"/>
    </xf>
    <xf numFmtId="0" fontId="0" fillId="12" borderId="1" xfId="0" applyFill="1" applyBorder="1" applyAlignment="1">
      <alignment horizontal="center" wrapText="1"/>
    </xf>
    <xf numFmtId="44" fontId="0" fillId="12" borderId="1" xfId="1" applyFont="1" applyFill="1" applyBorder="1" applyAlignment="1">
      <alignment wrapText="1"/>
    </xf>
    <xf numFmtId="0" fontId="0" fillId="12" borderId="26" xfId="0" applyFill="1" applyBorder="1"/>
    <xf numFmtId="0" fontId="0" fillId="0" borderId="17" xfId="0" applyFill="1" applyBorder="1"/>
    <xf numFmtId="0" fontId="0" fillId="12" borderId="16" xfId="0" applyFill="1" applyBorder="1"/>
    <xf numFmtId="0" fontId="0" fillId="12" borderId="19" xfId="0" applyFill="1" applyBorder="1"/>
    <xf numFmtId="0" fontId="7" fillId="0" borderId="21" xfId="0" applyFont="1" applyFill="1" applyBorder="1" applyAlignment="1">
      <alignment horizontal="center"/>
    </xf>
    <xf numFmtId="0" fontId="2" fillId="15" borderId="1" xfId="0" applyFont="1" applyFill="1" applyBorder="1"/>
    <xf numFmtId="44" fontId="0" fillId="15" borderId="1" xfId="1" applyFont="1" applyFill="1" applyBorder="1" applyAlignment="1">
      <alignment horizontal="center"/>
    </xf>
    <xf numFmtId="1" fontId="0" fillId="15" borderId="1" xfId="0" applyNumberFormat="1" applyFill="1" applyBorder="1" applyAlignment="1">
      <alignment horizontal="center"/>
    </xf>
    <xf numFmtId="165" fontId="0" fillId="0" borderId="0" xfId="0" applyNumberFormat="1" applyFill="1" applyBorder="1" applyAlignment="1">
      <alignment horizontal="center"/>
    </xf>
    <xf numFmtId="164" fontId="0" fillId="0" borderId="0" xfId="0" applyNumberFormat="1" applyFill="1" applyBorder="1"/>
    <xf numFmtId="0" fontId="0" fillId="0" borderId="0" xfId="0" applyBorder="1" applyAlignment="1">
      <alignment horizontal="center" wrapText="1"/>
    </xf>
    <xf numFmtId="0" fontId="0" fillId="0" borderId="0" xfId="0" applyBorder="1" applyAlignment="1"/>
    <xf numFmtId="0" fontId="0" fillId="0" borderId="0" xfId="0" applyFill="1" applyBorder="1" applyAlignment="1">
      <alignment horizontal="center" wrapText="1"/>
    </xf>
    <xf numFmtId="0" fontId="0" fillId="0" borderId="0" xfId="0" applyFill="1" applyBorder="1" applyAlignment="1"/>
    <xf numFmtId="0" fontId="0" fillId="0" borderId="7" xfId="0" applyBorder="1" applyAlignment="1">
      <alignment horizontal="center"/>
    </xf>
    <xf numFmtId="0" fontId="0" fillId="0" borderId="0" xfId="0" applyFont="1" applyBorder="1" applyAlignment="1">
      <alignment vertical="top"/>
    </xf>
    <xf numFmtId="1" fontId="7" fillId="0" borderId="1" xfId="0" applyNumberFormat="1" applyFont="1" applyFill="1" applyBorder="1" applyAlignment="1">
      <alignment horizontal="center"/>
    </xf>
    <xf numFmtId="0" fontId="7" fillId="0" borderId="1" xfId="0" applyFont="1" applyFill="1" applyBorder="1" applyAlignment="1">
      <alignment horizontal="center"/>
    </xf>
    <xf numFmtId="44" fontId="7" fillId="12" borderId="1" xfId="1" applyFont="1" applyFill="1" applyBorder="1"/>
    <xf numFmtId="44" fontId="11" fillId="12" borderId="1" xfId="1" applyFont="1" applyFill="1" applyBorder="1"/>
    <xf numFmtId="1" fontId="11" fillId="12" borderId="1" xfId="0" applyNumberFormat="1" applyFont="1" applyFill="1" applyBorder="1" applyAlignment="1">
      <alignment horizontal="center"/>
    </xf>
    <xf numFmtId="1" fontId="11" fillId="12" borderId="1" xfId="0" applyNumberFormat="1" applyFont="1" applyFill="1" applyBorder="1"/>
    <xf numFmtId="1" fontId="1" fillId="0" borderId="1" xfId="0" applyNumberFormat="1" applyFont="1" applyFill="1" applyBorder="1" applyAlignment="1">
      <alignment horizontal="center"/>
    </xf>
    <xf numFmtId="44" fontId="11" fillId="0" borderId="1" xfId="1" applyFont="1" applyFill="1" applyBorder="1" applyAlignment="1">
      <alignment horizontal="center"/>
    </xf>
    <xf numFmtId="44" fontId="7" fillId="12" borderId="1" xfId="1" applyFont="1" applyFill="1" applyBorder="1" applyAlignment="1">
      <alignment horizontal="center"/>
    </xf>
    <xf numFmtId="0" fontId="0" fillId="0" borderId="10" xfId="0" applyFont="1" applyBorder="1" applyAlignment="1">
      <alignment wrapText="1"/>
    </xf>
    <xf numFmtId="2" fontId="0" fillId="13" borderId="19" xfId="0" applyNumberFormat="1" applyFill="1" applyBorder="1" applyAlignment="1">
      <alignment horizontal="center"/>
    </xf>
    <xf numFmtId="2" fontId="0" fillId="13" borderId="1" xfId="0" applyNumberFormat="1" applyFill="1" applyBorder="1" applyAlignment="1">
      <alignment horizontal="center"/>
    </xf>
    <xf numFmtId="0" fontId="0" fillId="0" borderId="18" xfId="0" applyBorder="1"/>
    <xf numFmtId="0" fontId="0" fillId="0" borderId="24" xfId="0" applyBorder="1"/>
    <xf numFmtId="44" fontId="0" fillId="0" borderId="14" xfId="1" applyFont="1" applyBorder="1"/>
    <xf numFmtId="0" fontId="0" fillId="0" borderId="16" xfId="0" applyBorder="1" applyAlignment="1">
      <alignment horizontal="center"/>
    </xf>
    <xf numFmtId="1" fontId="0" fillId="0" borderId="16" xfId="0" applyNumberFormat="1" applyBorder="1" applyAlignment="1">
      <alignment horizontal="center"/>
    </xf>
    <xf numFmtId="0" fontId="0" fillId="0" borderId="16" xfId="0" applyBorder="1" applyAlignment="1">
      <alignment horizontal="center" wrapText="1"/>
    </xf>
    <xf numFmtId="0" fontId="0" fillId="8" borderId="42" xfId="0" applyFill="1" applyBorder="1" applyAlignment="1">
      <alignment horizontal="center"/>
    </xf>
    <xf numFmtId="0" fontId="0" fillId="0" borderId="42" xfId="0" applyBorder="1" applyAlignment="1">
      <alignment horizontal="center" wrapText="1"/>
    </xf>
    <xf numFmtId="0" fontId="3" fillId="15" borderId="28" xfId="0" applyFont="1" applyFill="1" applyBorder="1"/>
    <xf numFmtId="0" fontId="2" fillId="15" borderId="19" xfId="0" applyFont="1" applyFill="1" applyBorder="1" applyAlignment="1">
      <alignment horizontal="center"/>
    </xf>
    <xf numFmtId="164" fontId="2" fillId="15" borderId="19" xfId="0" applyNumberFormat="1" applyFont="1" applyFill="1" applyBorder="1" applyAlignment="1">
      <alignment horizontal="center"/>
    </xf>
    <xf numFmtId="0" fontId="2" fillId="15" borderId="20" xfId="0" applyFont="1" applyFill="1" applyBorder="1" applyAlignment="1">
      <alignment horizontal="center" wrapText="1"/>
    </xf>
    <xf numFmtId="0" fontId="7" fillId="0" borderId="13" xfId="0" applyFont="1" applyBorder="1"/>
    <xf numFmtId="44" fontId="4" fillId="8" borderId="0" xfId="1" applyFont="1" applyFill="1" applyBorder="1" applyAlignment="1">
      <alignment horizontal="right"/>
    </xf>
    <xf numFmtId="0" fontId="0" fillId="0" borderId="14" xfId="0" applyBorder="1" applyAlignment="1">
      <alignment horizontal="center" wrapText="1"/>
    </xf>
    <xf numFmtId="0" fontId="0" fillId="5" borderId="40" xfId="0" applyFill="1" applyBorder="1"/>
    <xf numFmtId="44" fontId="0" fillId="12" borderId="26" xfId="1" applyFont="1" applyFill="1" applyBorder="1"/>
    <xf numFmtId="1" fontId="0" fillId="0" borderId="26" xfId="0" applyNumberFormat="1" applyBorder="1" applyAlignment="1">
      <alignment horizontal="center"/>
    </xf>
    <xf numFmtId="1" fontId="0" fillId="12" borderId="26" xfId="0" applyNumberFormat="1" applyFill="1" applyBorder="1" applyAlignment="1">
      <alignment horizontal="center"/>
    </xf>
    <xf numFmtId="0" fontId="0" fillId="8" borderId="26" xfId="0" applyFill="1" applyBorder="1" applyAlignment="1">
      <alignment horizontal="center"/>
    </xf>
    <xf numFmtId="164" fontId="0" fillId="5" borderId="26" xfId="0" applyNumberFormat="1" applyFill="1" applyBorder="1" applyAlignment="1">
      <alignment horizontal="center"/>
    </xf>
    <xf numFmtId="0" fontId="0" fillId="5" borderId="27" xfId="0" applyFill="1" applyBorder="1" applyAlignment="1">
      <alignment horizontal="center" wrapText="1"/>
    </xf>
    <xf numFmtId="0" fontId="7" fillId="0" borderId="17" xfId="0" applyFont="1" applyBorder="1"/>
    <xf numFmtId="44" fontId="0" fillId="0" borderId="17" xfId="1" applyFont="1" applyFill="1" applyBorder="1"/>
    <xf numFmtId="0" fontId="0" fillId="0" borderId="17" xfId="0" applyBorder="1" applyAlignment="1">
      <alignment horizontal="center"/>
    </xf>
    <xf numFmtId="1" fontId="0" fillId="0" borderId="17" xfId="0" applyNumberFormat="1" applyBorder="1" applyAlignment="1">
      <alignment horizontal="center"/>
    </xf>
    <xf numFmtId="1" fontId="0" fillId="0" borderId="17" xfId="0" applyNumberFormat="1" applyBorder="1"/>
    <xf numFmtId="164" fontId="0" fillId="0" borderId="17" xfId="0" applyNumberFormat="1" applyBorder="1" applyAlignment="1">
      <alignment horizontal="center"/>
    </xf>
    <xf numFmtId="0" fontId="0" fillId="0" borderId="17" xfId="0" applyBorder="1" applyAlignment="1">
      <alignment horizontal="center" wrapText="1"/>
    </xf>
    <xf numFmtId="0" fontId="7" fillId="8" borderId="13" xfId="2" applyFont="1" applyFill="1" applyBorder="1"/>
    <xf numFmtId="0" fontId="7" fillId="8" borderId="13" xfId="0" applyFont="1" applyFill="1" applyBorder="1"/>
    <xf numFmtId="0" fontId="4" fillId="8" borderId="13" xfId="0" applyFont="1" applyFill="1" applyBorder="1"/>
    <xf numFmtId="0" fontId="7" fillId="5" borderId="13" xfId="0" applyFont="1" applyFill="1" applyBorder="1"/>
    <xf numFmtId="1" fontId="0" fillId="5" borderId="14" xfId="0" applyNumberFormat="1" applyFill="1" applyBorder="1" applyAlignment="1">
      <alignment horizontal="center" wrapText="1"/>
    </xf>
    <xf numFmtId="0" fontId="0" fillId="5" borderId="14" xfId="0" applyFill="1" applyBorder="1" applyAlignment="1">
      <alignment horizontal="center" wrapText="1"/>
    </xf>
    <xf numFmtId="0" fontId="7" fillId="5" borderId="40" xfId="0" applyFont="1" applyFill="1" applyBorder="1"/>
    <xf numFmtId="44" fontId="0" fillId="0" borderId="26" xfId="1" applyFont="1" applyFill="1" applyBorder="1"/>
    <xf numFmtId="0" fontId="0" fillId="0" borderId="26" xfId="0" applyBorder="1" applyAlignment="1">
      <alignment horizontal="center"/>
    </xf>
    <xf numFmtId="1" fontId="0" fillId="0" borderId="26" xfId="0" applyNumberFormat="1" applyBorder="1"/>
    <xf numFmtId="0" fontId="7" fillId="0" borderId="5" xfId="0" applyFont="1" applyBorder="1"/>
    <xf numFmtId="44" fontId="0" fillId="8" borderId="17" xfId="1" applyFont="1" applyFill="1" applyBorder="1"/>
    <xf numFmtId="0" fontId="0" fillId="8" borderId="17" xfId="0" applyFill="1" applyBorder="1" applyAlignment="1">
      <alignment horizontal="center"/>
    </xf>
    <xf numFmtId="1" fontId="0" fillId="8" borderId="17" xfId="0" applyNumberFormat="1" applyFill="1" applyBorder="1" applyAlignment="1">
      <alignment horizontal="center"/>
    </xf>
    <xf numFmtId="0" fontId="0" fillId="0" borderId="42" xfId="0" applyBorder="1"/>
    <xf numFmtId="0" fontId="0" fillId="0" borderId="42" xfId="0" applyBorder="1" applyAlignment="1">
      <alignment horizontal="center"/>
    </xf>
    <xf numFmtId="0" fontId="3" fillId="15" borderId="18" xfId="0" applyFont="1" applyFill="1" applyBorder="1"/>
    <xf numFmtId="0" fontId="7" fillId="0" borderId="48" xfId="0" applyFont="1" applyBorder="1"/>
    <xf numFmtId="0" fontId="7" fillId="5" borderId="48" xfId="0" applyFont="1" applyFill="1" applyBorder="1"/>
    <xf numFmtId="0" fontId="0" fillId="12" borderId="26" xfId="0" applyFill="1" applyBorder="1" applyAlignment="1">
      <alignment horizontal="center"/>
    </xf>
    <xf numFmtId="44" fontId="0" fillId="5" borderId="26" xfId="1" applyFont="1" applyFill="1" applyBorder="1" applyAlignment="1">
      <alignment horizontal="center"/>
    </xf>
    <xf numFmtId="0" fontId="0" fillId="0" borderId="17" xfId="0" applyBorder="1"/>
    <xf numFmtId="0" fontId="7" fillId="0" borderId="5" xfId="0" applyFont="1" applyBorder="1" applyAlignment="1">
      <alignment wrapText="1"/>
    </xf>
    <xf numFmtId="0" fontId="0" fillId="8" borderId="42" xfId="0" applyFill="1" applyBorder="1"/>
    <xf numFmtId="0" fontId="3" fillId="8" borderId="49" xfId="0" applyFont="1" applyFill="1" applyBorder="1"/>
    <xf numFmtId="0" fontId="7" fillId="5" borderId="49" xfId="0" applyFont="1" applyFill="1" applyBorder="1" applyAlignment="1">
      <alignment wrapText="1"/>
    </xf>
    <xf numFmtId="0" fontId="0" fillId="5" borderId="40" xfId="0" applyFont="1" applyFill="1" applyBorder="1" applyAlignment="1">
      <alignment horizontal="left" vertical="center" wrapText="1"/>
    </xf>
    <xf numFmtId="44" fontId="0" fillId="5" borderId="26" xfId="0" applyNumberFormat="1" applyFill="1" applyBorder="1" applyAlignment="1">
      <alignment horizontal="center"/>
    </xf>
    <xf numFmtId="0" fontId="0" fillId="8" borderId="17" xfId="0" applyFill="1" applyBorder="1"/>
    <xf numFmtId="0" fontId="0" fillId="0" borderId="0" xfId="0" applyFont="1" applyBorder="1" applyAlignment="1">
      <alignment horizontal="left" vertical="center" wrapText="1"/>
    </xf>
    <xf numFmtId="0" fontId="3" fillId="8" borderId="24" xfId="0" applyFont="1" applyFill="1" applyBorder="1"/>
    <xf numFmtId="0" fontId="0" fillId="5" borderId="24" xfId="0" applyFont="1" applyFill="1" applyBorder="1" applyAlignment="1">
      <alignment horizontal="left" vertical="center" wrapText="1"/>
    </xf>
    <xf numFmtId="0" fontId="0" fillId="5" borderId="50" xfId="0" applyFont="1" applyFill="1" applyBorder="1" applyAlignment="1">
      <alignment horizontal="left" vertical="center" wrapText="1"/>
    </xf>
    <xf numFmtId="0" fontId="0" fillId="5" borderId="49" xfId="0" applyFont="1" applyFill="1" applyBorder="1" applyAlignment="1">
      <alignment horizontal="left" vertical="center" wrapText="1"/>
    </xf>
    <xf numFmtId="0" fontId="0" fillId="5" borderId="37" xfId="0" applyFont="1" applyFill="1" applyBorder="1" applyAlignment="1">
      <alignment horizontal="left" vertical="center" wrapText="1"/>
    </xf>
    <xf numFmtId="0" fontId="0" fillId="5" borderId="26" xfId="0" applyNumberFormat="1" applyFill="1" applyBorder="1" applyAlignment="1">
      <alignment horizontal="center"/>
    </xf>
    <xf numFmtId="0" fontId="0" fillId="8" borderId="14" xfId="0" applyFill="1" applyBorder="1" applyAlignment="1">
      <alignment horizontal="center" wrapText="1"/>
    </xf>
    <xf numFmtId="0" fontId="0" fillId="0" borderId="26" xfId="0" applyBorder="1"/>
    <xf numFmtId="0" fontId="0" fillId="0" borderId="26" xfId="0" applyFill="1" applyBorder="1" applyAlignment="1">
      <alignment horizontal="center"/>
    </xf>
    <xf numFmtId="0" fontId="2" fillId="15" borderId="19" xfId="0" applyFont="1" applyFill="1" applyBorder="1" applyAlignment="1"/>
    <xf numFmtId="164" fontId="2" fillId="15" borderId="19" xfId="0" applyNumberFormat="1" applyFont="1" applyFill="1" applyBorder="1" applyAlignment="1"/>
    <xf numFmtId="0" fontId="3" fillId="8" borderId="13" xfId="0" applyFont="1" applyFill="1" applyBorder="1"/>
    <xf numFmtId="0" fontId="0" fillId="5" borderId="13" xfId="0" applyFill="1" applyBorder="1" applyAlignment="1">
      <alignment wrapText="1"/>
    </xf>
    <xf numFmtId="0" fontId="0" fillId="5" borderId="13" xfId="0" applyFill="1" applyBorder="1"/>
    <xf numFmtId="44" fontId="0" fillId="5" borderId="14" xfId="1" applyFont="1" applyFill="1" applyBorder="1" applyAlignment="1">
      <alignment horizontal="center" wrapText="1"/>
    </xf>
    <xf numFmtId="44" fontId="0" fillId="12" borderId="26" xfId="1" applyFont="1" applyFill="1" applyBorder="1" applyAlignment="1">
      <alignment horizontal="center"/>
    </xf>
    <xf numFmtId="1" fontId="0" fillId="0" borderId="26" xfId="0" applyNumberFormat="1" applyFill="1" applyBorder="1" applyAlignment="1">
      <alignment horizontal="center" wrapText="1"/>
    </xf>
    <xf numFmtId="0" fontId="0" fillId="8" borderId="26" xfId="0" applyFill="1" applyBorder="1" applyAlignment="1"/>
    <xf numFmtId="44" fontId="0" fillId="5" borderId="27" xfId="1" applyFont="1" applyFill="1" applyBorder="1" applyAlignment="1">
      <alignment horizontal="center" wrapText="1"/>
    </xf>
    <xf numFmtId="44" fontId="0" fillId="2" borderId="26" xfId="1" applyFont="1" applyFill="1" applyBorder="1" applyAlignment="1">
      <alignment horizontal="center"/>
    </xf>
    <xf numFmtId="165" fontId="0" fillId="2" borderId="26" xfId="0" applyNumberFormat="1" applyFill="1" applyBorder="1" applyAlignment="1">
      <alignment horizontal="center"/>
    </xf>
    <xf numFmtId="0" fontId="0" fillId="8" borderId="1" xfId="0" applyFont="1" applyFill="1" applyBorder="1" applyAlignment="1">
      <alignment horizontal="center"/>
    </xf>
    <xf numFmtId="0" fontId="0" fillId="8" borderId="1" xfId="0" applyFont="1" applyFill="1" applyBorder="1" applyAlignment="1"/>
    <xf numFmtId="164" fontId="0" fillId="8" borderId="1" xfId="0" applyNumberFormat="1" applyFont="1" applyFill="1" applyBorder="1" applyAlignment="1"/>
    <xf numFmtId="44" fontId="1" fillId="12" borderId="1" xfId="1" applyFont="1" applyFill="1" applyBorder="1" applyAlignment="1">
      <alignment wrapText="1"/>
    </xf>
    <xf numFmtId="0" fontId="0" fillId="0" borderId="1" xfId="0" applyFont="1" applyBorder="1" applyAlignment="1">
      <alignment horizontal="center" wrapText="1"/>
    </xf>
    <xf numFmtId="0" fontId="0" fillId="12" borderId="1" xfId="0" applyFont="1" applyFill="1" applyBorder="1" applyAlignment="1">
      <alignment horizontal="center" wrapText="1"/>
    </xf>
    <xf numFmtId="44" fontId="0" fillId="5" borderId="1" xfId="0" applyNumberFormat="1" applyFont="1" applyFill="1" applyBorder="1" applyAlignment="1">
      <alignment horizontal="center" wrapText="1"/>
    </xf>
    <xf numFmtId="0" fontId="0" fillId="8" borderId="1" xfId="0" applyFont="1" applyFill="1" applyBorder="1"/>
    <xf numFmtId="0" fontId="0" fillId="12" borderId="1" xfId="0" applyFont="1" applyFill="1" applyBorder="1" applyAlignment="1">
      <alignment horizontal="center"/>
    </xf>
    <xf numFmtId="0" fontId="0" fillId="0" borderId="1" xfId="0" applyFont="1" applyBorder="1" applyAlignment="1"/>
    <xf numFmtId="0" fontId="0" fillId="5" borderId="1" xfId="0" applyFont="1" applyFill="1" applyBorder="1" applyAlignment="1">
      <alignment horizontal="center"/>
    </xf>
    <xf numFmtId="44" fontId="1" fillId="12" borderId="1" xfId="1" applyFont="1" applyFill="1" applyBorder="1" applyAlignment="1">
      <alignment horizontal="center"/>
    </xf>
    <xf numFmtId="1" fontId="0" fillId="0" borderId="1" xfId="0" applyNumberFormat="1" applyFont="1" applyFill="1" applyBorder="1" applyAlignment="1">
      <alignment horizontal="center" wrapText="1"/>
    </xf>
    <xf numFmtId="1" fontId="0" fillId="12" borderId="1" xfId="0" applyNumberFormat="1" applyFont="1" applyFill="1" applyBorder="1" applyAlignment="1">
      <alignment horizontal="center"/>
    </xf>
    <xf numFmtId="1" fontId="0" fillId="0" borderId="1" xfId="0" applyNumberFormat="1" applyFont="1" applyFill="1" applyBorder="1" applyAlignment="1">
      <alignment wrapText="1"/>
    </xf>
    <xf numFmtId="164" fontId="0" fillId="5" borderId="1" xfId="0" applyNumberFormat="1" applyFont="1" applyFill="1" applyBorder="1" applyAlignment="1">
      <alignment horizontal="center"/>
    </xf>
    <xf numFmtId="0" fontId="0" fillId="8" borderId="14" xfId="0" applyFont="1" applyFill="1" applyBorder="1" applyAlignment="1">
      <alignment horizontal="center" wrapText="1"/>
    </xf>
    <xf numFmtId="0" fontId="7" fillId="5" borderId="13" xfId="0" applyFont="1" applyFill="1" applyBorder="1" applyAlignment="1">
      <alignment wrapText="1"/>
    </xf>
    <xf numFmtId="0" fontId="0" fillId="5" borderId="14" xfId="0" applyFont="1" applyFill="1" applyBorder="1" applyAlignment="1">
      <alignment horizontal="center" wrapText="1"/>
    </xf>
    <xf numFmtId="0" fontId="0" fillId="5" borderId="13" xfId="0" applyFont="1" applyFill="1" applyBorder="1" applyAlignment="1">
      <alignment wrapText="1"/>
    </xf>
    <xf numFmtId="0" fontId="0" fillId="5" borderId="13" xfId="0" applyFont="1" applyFill="1" applyBorder="1"/>
    <xf numFmtId="44" fontId="1" fillId="5" borderId="14" xfId="1" applyFont="1" applyFill="1" applyBorder="1" applyAlignment="1">
      <alignment horizontal="center" wrapText="1"/>
    </xf>
    <xf numFmtId="0" fontId="0" fillId="5" borderId="40" xfId="0" applyFont="1" applyFill="1" applyBorder="1"/>
    <xf numFmtId="44" fontId="1" fillId="12" borderId="26" xfId="1" applyFont="1" applyFill="1" applyBorder="1" applyAlignment="1">
      <alignment horizontal="center"/>
    </xf>
    <xf numFmtId="1" fontId="0" fillId="0" borderId="26" xfId="0" applyNumberFormat="1" applyFont="1" applyFill="1" applyBorder="1" applyAlignment="1">
      <alignment horizontal="center" wrapText="1"/>
    </xf>
    <xf numFmtId="1" fontId="0" fillId="12" borderId="26" xfId="0" applyNumberFormat="1" applyFont="1" applyFill="1" applyBorder="1" applyAlignment="1">
      <alignment horizontal="center"/>
    </xf>
    <xf numFmtId="0" fontId="0" fillId="8" borderId="26" xfId="0" applyFont="1" applyFill="1" applyBorder="1" applyAlignment="1"/>
    <xf numFmtId="164" fontId="0" fillId="5" borderId="26" xfId="0" applyNumberFormat="1" applyFont="1" applyFill="1" applyBorder="1" applyAlignment="1">
      <alignment horizontal="center"/>
    </xf>
    <xf numFmtId="44" fontId="1" fillId="5" borderId="27" xfId="1" applyFont="1" applyFill="1" applyBorder="1" applyAlignment="1">
      <alignment horizontal="center" wrapText="1"/>
    </xf>
    <xf numFmtId="44" fontId="2" fillId="15" borderId="19" xfId="1" applyFont="1" applyFill="1" applyBorder="1" applyAlignment="1">
      <alignment horizontal="center"/>
    </xf>
    <xf numFmtId="0" fontId="2" fillId="15" borderId="20" xfId="0" applyFont="1" applyFill="1" applyBorder="1" applyAlignment="1">
      <alignment horizontal="center"/>
    </xf>
    <xf numFmtId="0" fontId="0" fillId="0" borderId="13" xfId="0" applyFill="1" applyBorder="1"/>
    <xf numFmtId="0" fontId="0" fillId="8" borderId="14" xfId="0" applyFill="1" applyBorder="1" applyAlignment="1">
      <alignment horizontal="center"/>
    </xf>
    <xf numFmtId="44" fontId="0" fillId="0" borderId="26" xfId="1" applyFont="1" applyBorder="1" applyAlignment="1">
      <alignment horizontal="center"/>
    </xf>
    <xf numFmtId="44" fontId="0" fillId="0" borderId="17" xfId="1" applyFont="1" applyBorder="1" applyAlignment="1">
      <alignment horizontal="center"/>
    </xf>
    <xf numFmtId="0" fontId="3" fillId="0" borderId="13" xfId="0" applyFont="1" applyFill="1" applyBorder="1"/>
    <xf numFmtId="0" fontId="7" fillId="0" borderId="13" xfId="0" applyFont="1" applyFill="1" applyBorder="1"/>
    <xf numFmtId="0" fontId="4" fillId="0" borderId="13" xfId="0" applyFont="1" applyFill="1" applyBorder="1"/>
    <xf numFmtId="44" fontId="0" fillId="0" borderId="26" xfId="1" applyFont="1" applyFill="1" applyBorder="1" applyAlignment="1">
      <alignment horizontal="center"/>
    </xf>
    <xf numFmtId="1" fontId="0" fillId="0" borderId="26" xfId="0" applyNumberFormat="1" applyFill="1" applyBorder="1" applyAlignment="1">
      <alignment horizontal="center"/>
    </xf>
    <xf numFmtId="165" fontId="0" fillId="0" borderId="26" xfId="0" applyNumberFormat="1" applyFill="1" applyBorder="1" applyAlignment="1">
      <alignment horizontal="center"/>
    </xf>
    <xf numFmtId="44" fontId="0" fillId="0" borderId="17" xfId="1" applyFont="1" applyFill="1" applyBorder="1" applyAlignment="1">
      <alignment horizontal="center"/>
    </xf>
    <xf numFmtId="1" fontId="0" fillId="0" borderId="17" xfId="0" applyNumberFormat="1" applyFill="1" applyBorder="1" applyAlignment="1">
      <alignment horizontal="center"/>
    </xf>
    <xf numFmtId="165" fontId="0" fillId="0" borderId="17" xfId="0" applyNumberFormat="1" applyFill="1" applyBorder="1" applyAlignment="1">
      <alignment horizontal="center"/>
    </xf>
    <xf numFmtId="164" fontId="0" fillId="0" borderId="17" xfId="0" applyNumberFormat="1" applyFill="1" applyBorder="1" applyAlignment="1">
      <alignment horizontal="center"/>
    </xf>
    <xf numFmtId="0" fontId="2" fillId="15" borderId="28" xfId="0" applyFont="1" applyFill="1" applyBorder="1"/>
    <xf numFmtId="0" fontId="0" fillId="0" borderId="40" xfId="0" applyFill="1" applyBorder="1"/>
    <xf numFmtId="164" fontId="0" fillId="0" borderId="26" xfId="0" applyNumberFormat="1" applyFill="1" applyBorder="1" applyAlignment="1">
      <alignment horizontal="center"/>
    </xf>
    <xf numFmtId="44" fontId="0" fillId="0" borderId="42" xfId="1" applyFont="1" applyBorder="1"/>
    <xf numFmtId="164" fontId="2" fillId="15" borderId="20" xfId="0" applyNumberFormat="1" applyFont="1" applyFill="1" applyBorder="1" applyAlignment="1">
      <alignment horizontal="center"/>
    </xf>
    <xf numFmtId="164" fontId="0" fillId="0" borderId="14" xfId="0" applyNumberFormat="1" applyBorder="1"/>
    <xf numFmtId="44" fontId="0" fillId="0" borderId="26" xfId="1" applyFont="1" applyBorder="1"/>
    <xf numFmtId="44" fontId="0" fillId="0" borderId="17" xfId="1" applyFont="1" applyBorder="1"/>
    <xf numFmtId="164" fontId="0" fillId="0" borderId="17" xfId="0" applyNumberFormat="1" applyBorder="1"/>
    <xf numFmtId="0" fontId="3" fillId="6" borderId="28" xfId="0" applyFont="1" applyFill="1" applyBorder="1"/>
    <xf numFmtId="164" fontId="0" fillId="5" borderId="14" xfId="0" applyNumberFormat="1" applyFill="1" applyBorder="1"/>
    <xf numFmtId="0" fontId="0" fillId="0" borderId="13" xfId="0" quotePrefix="1" applyBorder="1"/>
    <xf numFmtId="0" fontId="7" fillId="4" borderId="13" xfId="0" applyFont="1" applyFill="1" applyBorder="1"/>
    <xf numFmtId="164" fontId="0" fillId="4" borderId="14" xfId="0" applyNumberFormat="1" applyFill="1" applyBorder="1"/>
    <xf numFmtId="1" fontId="0" fillId="0" borderId="7" xfId="0" applyNumberFormat="1" applyBorder="1" applyAlignment="1">
      <alignment horizontal="center"/>
    </xf>
    <xf numFmtId="0" fontId="3" fillId="0" borderId="13" xfId="0" applyFont="1" applyBorder="1"/>
    <xf numFmtId="0" fontId="0" fillId="0" borderId="14" xfId="0" applyFill="1" applyBorder="1" applyAlignment="1">
      <alignment horizontal="center" wrapText="1"/>
    </xf>
    <xf numFmtId="44" fontId="0" fillId="0" borderId="14" xfId="1" applyFont="1" applyFill="1" applyBorder="1" applyAlignment="1">
      <alignment horizontal="center" wrapText="1"/>
    </xf>
    <xf numFmtId="0" fontId="11" fillId="0" borderId="13" xfId="0" applyFont="1" applyFill="1" applyBorder="1"/>
    <xf numFmtId="0" fontId="4" fillId="5" borderId="13" xfId="0" applyFont="1" applyFill="1" applyBorder="1"/>
    <xf numFmtId="0" fontId="4" fillId="5" borderId="40" xfId="0" applyFont="1" applyFill="1" applyBorder="1" applyAlignment="1">
      <alignment wrapText="1"/>
    </xf>
    <xf numFmtId="0" fontId="11" fillId="0" borderId="26" xfId="0" applyFont="1" applyFill="1" applyBorder="1"/>
    <xf numFmtId="164" fontId="0" fillId="5" borderId="26" xfId="0" applyNumberFormat="1" applyFill="1" applyBorder="1"/>
    <xf numFmtId="0" fontId="0" fillId="0" borderId="17" xfId="0" applyFill="1" applyBorder="1" applyAlignment="1">
      <alignment horizontal="center"/>
    </xf>
    <xf numFmtId="164" fontId="0" fillId="0" borderId="17" xfId="0" applyNumberFormat="1" applyFill="1" applyBorder="1"/>
    <xf numFmtId="0" fontId="7" fillId="0" borderId="24" xfId="2" applyFont="1" applyFill="1" applyBorder="1"/>
    <xf numFmtId="0" fontId="0" fillId="5" borderId="14" xfId="0" applyFill="1" applyBorder="1" applyAlignment="1">
      <alignment horizontal="center"/>
    </xf>
    <xf numFmtId="0" fontId="4" fillId="8" borderId="17" xfId="0" applyFont="1" applyFill="1" applyBorder="1"/>
    <xf numFmtId="0" fontId="11" fillId="0" borderId="17" xfId="0" applyFont="1" applyFill="1" applyBorder="1"/>
    <xf numFmtId="0" fontId="7" fillId="10" borderId="13" xfId="0" applyFont="1" applyFill="1" applyBorder="1"/>
    <xf numFmtId="0" fontId="0" fillId="0" borderId="14" xfId="0" applyFill="1" applyBorder="1"/>
    <xf numFmtId="0" fontId="7" fillId="9" borderId="13" xfId="2" applyFont="1" applyFill="1" applyBorder="1"/>
    <xf numFmtId="0" fontId="14" fillId="9" borderId="13" xfId="2" applyFont="1" applyFill="1" applyBorder="1"/>
    <xf numFmtId="0" fontId="0" fillId="5" borderId="27" xfId="0" applyFill="1" applyBorder="1"/>
    <xf numFmtId="0" fontId="7" fillId="5" borderId="13" xfId="2" applyFont="1" applyFill="1" applyBorder="1"/>
    <xf numFmtId="0" fontId="7" fillId="0" borderId="25" xfId="0" applyFont="1" applyBorder="1"/>
    <xf numFmtId="0" fontId="0" fillId="0" borderId="46" xfId="0" applyBorder="1"/>
    <xf numFmtId="0" fontId="0" fillId="0" borderId="46" xfId="0" applyBorder="1" applyAlignment="1">
      <alignment horizontal="center"/>
    </xf>
    <xf numFmtId="0" fontId="0" fillId="0" borderId="47" xfId="0" applyBorder="1" applyAlignment="1">
      <alignment horizontal="center" wrapText="1"/>
    </xf>
    <xf numFmtId="0" fontId="0" fillId="5" borderId="40" xfId="0" applyFill="1" applyBorder="1" applyAlignment="1">
      <alignment wrapText="1"/>
    </xf>
    <xf numFmtId="0" fontId="0" fillId="0" borderId="0" xfId="0" applyFont="1" applyFill="1" applyBorder="1" applyAlignment="1">
      <alignment horizontal="left" wrapText="1"/>
    </xf>
    <xf numFmtId="0" fontId="0" fillId="0" borderId="0" xfId="0" applyFill="1" applyBorder="1" applyAlignment="1">
      <alignment wrapText="1"/>
    </xf>
    <xf numFmtId="0" fontId="0" fillId="0" borderId="51" xfId="0" applyBorder="1"/>
    <xf numFmtId="0" fontId="27" fillId="0" borderId="0" xfId="0" applyFont="1"/>
    <xf numFmtId="0" fontId="28" fillId="0" borderId="0" xfId="0" applyFont="1"/>
    <xf numFmtId="0" fontId="29" fillId="0" borderId="0" xfId="0" applyFont="1"/>
    <xf numFmtId="0" fontId="23" fillId="16" borderId="1" xfId="0" applyFont="1" applyFill="1" applyBorder="1"/>
    <xf numFmtId="0" fontId="23" fillId="16" borderId="1" xfId="0" applyFont="1" applyFill="1" applyBorder="1" applyAlignment="1">
      <alignment horizontal="center"/>
    </xf>
    <xf numFmtId="0" fontId="30" fillId="0" borderId="1" xfId="0" applyFont="1" applyBorder="1"/>
    <xf numFmtId="0" fontId="0" fillId="0" borderId="0" xfId="0" applyAlignment="1">
      <alignment horizontal="right"/>
    </xf>
    <xf numFmtId="165" fontId="0" fillId="13" borderId="7" xfId="0" applyNumberFormat="1" applyFill="1" applyBorder="1" applyAlignment="1">
      <alignment horizontal="center"/>
    </xf>
    <xf numFmtId="44" fontId="0" fillId="0" borderId="1" xfId="0" applyNumberFormat="1" applyBorder="1" applyAlignment="1">
      <alignment horizontal="center"/>
    </xf>
    <xf numFmtId="44" fontId="0" fillId="0" borderId="10" xfId="0" applyNumberFormat="1" applyBorder="1" applyAlignment="1">
      <alignment horizontal="center"/>
    </xf>
    <xf numFmtId="0" fontId="30" fillId="0" borderId="0" xfId="0" applyFont="1" applyBorder="1"/>
    <xf numFmtId="0" fontId="30" fillId="0" borderId="11" xfId="0" applyFont="1" applyBorder="1"/>
    <xf numFmtId="44" fontId="0" fillId="13" borderId="1" xfId="1" applyFont="1" applyFill="1" applyBorder="1" applyAlignment="1">
      <alignment horizontal="center"/>
    </xf>
    <xf numFmtId="0" fontId="2" fillId="13" borderId="1" xfId="0" applyFont="1" applyFill="1" applyBorder="1"/>
    <xf numFmtId="0" fontId="0" fillId="0" borderId="1" xfId="0" applyFont="1" applyBorder="1" applyAlignment="1">
      <alignment horizontal="left" wrapText="1"/>
    </xf>
    <xf numFmtId="0" fontId="0" fillId="0" borderId="21" xfId="0" applyFill="1" applyBorder="1" applyAlignment="1">
      <alignment horizontal="center"/>
    </xf>
    <xf numFmtId="0" fontId="0" fillId="0" borderId="1" xfId="0" applyFont="1" applyBorder="1" applyAlignment="1">
      <alignment horizontal="left"/>
    </xf>
    <xf numFmtId="0" fontId="23" fillId="0" borderId="0" xfId="0" applyFont="1"/>
    <xf numFmtId="0" fontId="0" fillId="0" borderId="5" xfId="0" applyFont="1" applyFill="1" applyBorder="1" applyAlignment="1">
      <alignment horizontal="left"/>
    </xf>
    <xf numFmtId="44" fontId="0" fillId="13" borderId="11" xfId="1" applyFont="1" applyFill="1" applyBorder="1"/>
    <xf numFmtId="0" fontId="0" fillId="0" borderId="6" xfId="0" applyFill="1" applyBorder="1"/>
    <xf numFmtId="0" fontId="0" fillId="0" borderId="5" xfId="0" applyFill="1" applyBorder="1" applyAlignment="1">
      <alignment horizontal="center" wrapText="1"/>
    </xf>
    <xf numFmtId="164" fontId="0" fillId="0" borderId="1" xfId="0" applyNumberFormat="1" applyFill="1" applyBorder="1"/>
    <xf numFmtId="0" fontId="0" fillId="0" borderId="52" xfId="0" applyFill="1" applyBorder="1"/>
    <xf numFmtId="0" fontId="7" fillId="5" borderId="40" xfId="0" applyFont="1" applyFill="1" applyBorder="1" applyAlignment="1">
      <alignment wrapText="1"/>
    </xf>
    <xf numFmtId="0" fontId="0" fillId="17" borderId="1" xfId="0" applyFill="1" applyBorder="1" applyAlignment="1">
      <alignment horizontal="center"/>
    </xf>
    <xf numFmtId="9" fontId="0" fillId="17" borderId="1" xfId="0" applyNumberFormat="1" applyFill="1" applyBorder="1" applyAlignment="1">
      <alignment horizontal="center"/>
    </xf>
    <xf numFmtId="10" fontId="0" fillId="17" borderId="1" xfId="0" applyNumberFormat="1" applyFill="1" applyBorder="1" applyAlignment="1">
      <alignment horizontal="center"/>
    </xf>
    <xf numFmtId="168" fontId="0" fillId="0" borderId="1" xfId="0" applyNumberFormat="1" applyBorder="1" applyAlignment="1">
      <alignment horizontal="center"/>
    </xf>
    <xf numFmtId="0" fontId="31" fillId="0" borderId="1" xfId="0" applyFont="1" applyBorder="1" applyAlignment="1">
      <alignment horizontal="center"/>
    </xf>
    <xf numFmtId="2" fontId="0" fillId="17" borderId="1" xfId="0" applyNumberFormat="1" applyFill="1" applyBorder="1" applyAlignment="1">
      <alignment horizontal="center"/>
    </xf>
    <xf numFmtId="165" fontId="0" fillId="18" borderId="1" xfId="0" applyNumberFormat="1" applyFill="1" applyBorder="1" applyAlignment="1">
      <alignment horizontal="center"/>
    </xf>
    <xf numFmtId="169" fontId="0" fillId="0" borderId="1" xfId="0" applyNumberFormat="1" applyBorder="1" applyAlignment="1">
      <alignment horizontal="center"/>
    </xf>
    <xf numFmtId="0" fontId="31" fillId="0" borderId="0" xfId="0" applyFont="1"/>
    <xf numFmtId="0" fontId="0" fillId="17" borderId="1" xfId="0" applyFill="1" applyBorder="1" applyAlignment="1">
      <alignment horizontal="center" wrapText="1"/>
    </xf>
    <xf numFmtId="0" fontId="32" fillId="0" borderId="0" xfId="0" applyFont="1" applyFill="1" applyBorder="1"/>
    <xf numFmtId="0" fontId="32" fillId="19" borderId="10" xfId="0" applyFont="1" applyFill="1" applyBorder="1"/>
    <xf numFmtId="0" fontId="32" fillId="19" borderId="12" xfId="0" applyFont="1" applyFill="1" applyBorder="1"/>
    <xf numFmtId="0" fontId="31" fillId="19" borderId="12" xfId="0" applyFont="1" applyFill="1" applyBorder="1" applyAlignment="1">
      <alignment horizontal="center"/>
    </xf>
    <xf numFmtId="0" fontId="32" fillId="19" borderId="11" xfId="0" applyFont="1" applyFill="1" applyBorder="1"/>
    <xf numFmtId="0" fontId="32" fillId="20" borderId="1" xfId="0" applyFont="1" applyFill="1" applyBorder="1"/>
    <xf numFmtId="9" fontId="32" fillId="19" borderId="1" xfId="0" applyNumberFormat="1" applyFont="1" applyFill="1" applyBorder="1" applyAlignment="1">
      <alignment horizontal="center"/>
    </xf>
    <xf numFmtId="10" fontId="32" fillId="19" borderId="1" xfId="0" applyNumberFormat="1" applyFont="1" applyFill="1" applyBorder="1" applyAlignment="1">
      <alignment horizontal="center"/>
    </xf>
    <xf numFmtId="0" fontId="32" fillId="21" borderId="16" xfId="0" applyFont="1" applyFill="1" applyBorder="1"/>
    <xf numFmtId="9" fontId="32" fillId="21" borderId="11" xfId="0" applyNumberFormat="1" applyFont="1" applyFill="1" applyBorder="1" applyAlignment="1">
      <alignment horizontal="center"/>
    </xf>
    <xf numFmtId="1" fontId="32" fillId="0" borderId="1" xfId="0" applyNumberFormat="1" applyFont="1" applyFill="1" applyBorder="1" applyAlignment="1">
      <alignment horizontal="center"/>
    </xf>
    <xf numFmtId="0" fontId="32" fillId="21" borderId="17" xfId="0" applyFont="1" applyFill="1" applyBorder="1"/>
    <xf numFmtId="0" fontId="32" fillId="21" borderId="17" xfId="0" applyFont="1" applyFill="1" applyBorder="1" applyAlignment="1">
      <alignment horizontal="center"/>
    </xf>
    <xf numFmtId="170" fontId="32" fillId="21" borderId="11" xfId="0" applyNumberFormat="1" applyFont="1" applyFill="1" applyBorder="1" applyAlignment="1">
      <alignment horizontal="center"/>
    </xf>
    <xf numFmtId="0" fontId="32" fillId="21" borderId="42" xfId="0" applyFont="1" applyFill="1" applyBorder="1"/>
    <xf numFmtId="0" fontId="32" fillId="19" borderId="3" xfId="0" applyFont="1" applyFill="1" applyBorder="1"/>
    <xf numFmtId="0" fontId="32" fillId="19" borderId="2" xfId="0" applyFont="1" applyFill="1" applyBorder="1"/>
    <xf numFmtId="0" fontId="32" fillId="19" borderId="4" xfId="0" applyFont="1" applyFill="1" applyBorder="1"/>
    <xf numFmtId="0" fontId="33" fillId="19" borderId="5" xfId="0" applyFont="1" applyFill="1" applyBorder="1"/>
    <xf numFmtId="0" fontId="32" fillId="19" borderId="0" xfId="0" applyFont="1" applyFill="1" applyBorder="1"/>
    <xf numFmtId="0" fontId="32" fillId="19" borderId="6" xfId="0" applyFont="1" applyFill="1" applyBorder="1"/>
    <xf numFmtId="0" fontId="32" fillId="19" borderId="5" xfId="0" applyFont="1" applyFill="1" applyBorder="1"/>
    <xf numFmtId="0" fontId="3" fillId="19" borderId="5" xfId="0" applyFont="1" applyFill="1" applyBorder="1"/>
    <xf numFmtId="10" fontId="32" fillId="22" borderId="53" xfId="0" applyNumberFormat="1" applyFont="1" applyFill="1" applyBorder="1" applyAlignment="1">
      <alignment horizontal="center"/>
    </xf>
    <xf numFmtId="1" fontId="32" fillId="22" borderId="53" xfId="0" applyNumberFormat="1" applyFont="1" applyFill="1" applyBorder="1" applyAlignment="1">
      <alignment horizontal="center"/>
    </xf>
    <xf numFmtId="0" fontId="32" fillId="19" borderId="7" xfId="0" applyFont="1" applyFill="1" applyBorder="1"/>
    <xf numFmtId="0" fontId="32" fillId="19" borderId="8" xfId="0" applyFont="1" applyFill="1" applyBorder="1"/>
    <xf numFmtId="0" fontId="32" fillId="19" borderId="9" xfId="0" applyFont="1" applyFill="1" applyBorder="1"/>
    <xf numFmtId="1" fontId="0" fillId="23" borderId="1" xfId="0" applyNumberFormat="1" applyFill="1" applyBorder="1" applyAlignment="1">
      <alignment horizontal="center"/>
    </xf>
    <xf numFmtId="0" fontId="31" fillId="20" borderId="1" xfId="0" applyFont="1" applyFill="1" applyBorder="1" applyAlignment="1">
      <alignment horizontal="center"/>
    </xf>
    <xf numFmtId="0" fontId="32" fillId="20" borderId="1" xfId="0" applyFont="1" applyFill="1" applyBorder="1" applyAlignment="1">
      <alignment horizontal="center"/>
    </xf>
    <xf numFmtId="0" fontId="32" fillId="0" borderId="1" xfId="0" applyFont="1" applyFill="1" applyBorder="1" applyAlignment="1">
      <alignment horizontal="center"/>
    </xf>
    <xf numFmtId="9" fontId="7" fillId="12" borderId="13" xfId="4" applyFont="1" applyFill="1" applyBorder="1" applyAlignment="1">
      <alignment horizontal="center"/>
    </xf>
    <xf numFmtId="0" fontId="0" fillId="5" borderId="26" xfId="0" applyFill="1" applyBorder="1" applyAlignment="1">
      <alignment horizontal="center"/>
    </xf>
    <xf numFmtId="0" fontId="0" fillId="5" borderId="27" xfId="0" applyFill="1" applyBorder="1" applyAlignment="1">
      <alignment horizontal="center"/>
    </xf>
    <xf numFmtId="49" fontId="7" fillId="12" borderId="13" xfId="0" applyNumberFormat="1" applyFont="1" applyFill="1" applyBorder="1" applyAlignment="1">
      <alignment horizontal="center"/>
    </xf>
    <xf numFmtId="0" fontId="0" fillId="6" borderId="1" xfId="0" applyFill="1" applyBorder="1" applyAlignment="1">
      <alignment horizontal="center"/>
    </xf>
    <xf numFmtId="44" fontId="0" fillId="13" borderId="26" xfId="1" applyFont="1" applyFill="1" applyBorder="1" applyAlignment="1">
      <alignment horizontal="center"/>
    </xf>
    <xf numFmtId="0" fontId="0" fillId="0" borderId="14" xfId="0" applyFill="1" applyBorder="1" applyAlignment="1">
      <alignment horizontal="center"/>
    </xf>
    <xf numFmtId="44" fontId="0" fillId="13" borderId="10" xfId="1" applyFont="1" applyFill="1" applyBorder="1"/>
    <xf numFmtId="44" fontId="0" fillId="13" borderId="1" xfId="0" applyNumberFormat="1" applyFill="1" applyBorder="1" applyAlignment="1">
      <alignment horizontal="center"/>
    </xf>
    <xf numFmtId="0" fontId="0" fillId="3" borderId="1" xfId="0" applyFill="1" applyBorder="1" applyAlignment="1">
      <alignment horizontal="center"/>
    </xf>
    <xf numFmtId="44" fontId="0" fillId="13" borderId="14" xfId="1" applyNumberFormat="1" applyFont="1" applyFill="1" applyBorder="1"/>
    <xf numFmtId="1" fontId="7" fillId="12" borderId="1" xfId="0" applyNumberFormat="1" applyFont="1" applyFill="1" applyBorder="1" applyAlignment="1">
      <alignment horizontal="center"/>
    </xf>
    <xf numFmtId="165" fontId="0" fillId="0" borderId="1" xfId="0" applyNumberFormat="1" applyBorder="1"/>
    <xf numFmtId="165" fontId="2" fillId="13" borderId="1" xfId="0" applyNumberFormat="1" applyFont="1" applyFill="1" applyBorder="1"/>
    <xf numFmtId="165" fontId="0" fillId="13" borderId="41" xfId="0" applyNumberFormat="1" applyFill="1" applyBorder="1" applyAlignment="1">
      <alignment horizontal="center"/>
    </xf>
    <xf numFmtId="44" fontId="0" fillId="13" borderId="19" xfId="1" applyFont="1" applyFill="1" applyBorder="1"/>
    <xf numFmtId="44" fontId="0" fillId="13" borderId="20" xfId="0" applyNumberFormat="1" applyFill="1" applyBorder="1"/>
    <xf numFmtId="44" fontId="0" fillId="13" borderId="14" xfId="0" applyNumberFormat="1" applyFill="1" applyBorder="1"/>
    <xf numFmtId="44" fontId="0" fillId="0" borderId="14" xfId="0" applyNumberFormat="1" applyFill="1" applyBorder="1"/>
    <xf numFmtId="44" fontId="0" fillId="13" borderId="26" xfId="1" applyFont="1" applyFill="1" applyBorder="1"/>
    <xf numFmtId="164" fontId="0" fillId="13" borderId="43" xfId="0" applyNumberFormat="1" applyFill="1" applyBorder="1"/>
    <xf numFmtId="44" fontId="0" fillId="13" borderId="43" xfId="1" applyFont="1" applyFill="1" applyBorder="1"/>
    <xf numFmtId="44" fontId="0" fillId="13" borderId="27" xfId="0" applyNumberFormat="1" applyFill="1" applyBorder="1"/>
    <xf numFmtId="44" fontId="0" fillId="13" borderId="19" xfId="0" applyNumberFormat="1" applyFill="1" applyBorder="1"/>
    <xf numFmtId="167" fontId="0" fillId="13" borderId="26" xfId="0" applyNumberFormat="1" applyFill="1" applyBorder="1"/>
    <xf numFmtId="167" fontId="0" fillId="13" borderId="27" xfId="0" applyNumberFormat="1" applyFill="1" applyBorder="1"/>
    <xf numFmtId="0" fontId="7" fillId="0" borderId="48" xfId="0" applyFont="1" applyFill="1" applyBorder="1"/>
    <xf numFmtId="0" fontId="7" fillId="0" borderId="13" xfId="0" applyFont="1" applyFill="1" applyBorder="1" applyAlignment="1">
      <alignment wrapText="1"/>
    </xf>
    <xf numFmtId="0" fontId="7" fillId="0" borderId="13" xfId="2" applyFont="1" applyFill="1" applyBorder="1"/>
    <xf numFmtId="0" fontId="0" fillId="0" borderId="10" xfId="0" applyBorder="1"/>
    <xf numFmtId="165" fontId="0" fillId="0" borderId="0" xfId="0" applyNumberFormat="1" applyFill="1" applyBorder="1"/>
    <xf numFmtId="44" fontId="0" fillId="12" borderId="16" xfId="1" applyFont="1" applyFill="1" applyBorder="1"/>
    <xf numFmtId="0" fontId="0" fillId="12" borderId="16" xfId="0" applyFill="1" applyBorder="1" applyAlignment="1">
      <alignment horizontal="center"/>
    </xf>
    <xf numFmtId="44" fontId="0" fillId="5" borderId="16" xfId="1" applyFont="1" applyFill="1" applyBorder="1" applyAlignment="1">
      <alignment horizontal="center"/>
    </xf>
    <xf numFmtId="0" fontId="0" fillId="5" borderId="23" xfId="0" applyFill="1" applyBorder="1" applyAlignment="1">
      <alignment horizontal="center" wrapText="1"/>
    </xf>
    <xf numFmtId="0" fontId="7" fillId="0" borderId="49" xfId="0" applyFont="1" applyFill="1" applyBorder="1" applyAlignment="1">
      <alignment wrapText="1"/>
    </xf>
    <xf numFmtId="44" fontId="0" fillId="0" borderId="16" xfId="1" applyFont="1" applyFill="1" applyBorder="1" applyAlignment="1">
      <alignment horizontal="center"/>
    </xf>
    <xf numFmtId="0" fontId="0" fillId="0" borderId="23" xfId="0" applyFill="1" applyBorder="1" applyAlignment="1">
      <alignment horizontal="center" wrapText="1"/>
    </xf>
    <xf numFmtId="0" fontId="0" fillId="5" borderId="54" xfId="0" applyFill="1" applyBorder="1"/>
    <xf numFmtId="1" fontId="0" fillId="12" borderId="16" xfId="0" applyNumberFormat="1" applyFill="1" applyBorder="1" applyAlignment="1">
      <alignment horizontal="center"/>
    </xf>
    <xf numFmtId="0" fontId="0" fillId="8" borderId="16" xfId="0" applyFill="1" applyBorder="1" applyAlignment="1">
      <alignment horizontal="center"/>
    </xf>
    <xf numFmtId="44" fontId="0" fillId="0" borderId="16" xfId="1" applyFont="1" applyBorder="1"/>
    <xf numFmtId="1" fontId="0" fillId="0" borderId="3" xfId="0" applyNumberFormat="1" applyBorder="1" applyAlignment="1">
      <alignment horizontal="center"/>
    </xf>
    <xf numFmtId="164" fontId="0" fillId="0" borderId="14" xfId="0" applyNumberFormat="1" applyFill="1" applyBorder="1" applyAlignment="1">
      <alignment horizontal="center"/>
    </xf>
    <xf numFmtId="0" fontId="0" fillId="0" borderId="13" xfId="0" applyFill="1" applyBorder="1" applyAlignment="1">
      <alignment wrapText="1"/>
    </xf>
    <xf numFmtId="164" fontId="0" fillId="5" borderId="14" xfId="0" applyNumberFormat="1" applyFill="1" applyBorder="1" applyAlignment="1">
      <alignment horizontal="center"/>
    </xf>
    <xf numFmtId="165" fontId="0" fillId="0" borderId="26" xfId="0" applyNumberFormat="1" applyBorder="1" applyAlignment="1">
      <alignment horizontal="center"/>
    </xf>
    <xf numFmtId="164" fontId="0" fillId="0" borderId="27" xfId="0" applyNumberFormat="1" applyBorder="1"/>
    <xf numFmtId="0" fontId="0" fillId="0" borderId="42" xfId="0" applyFill="1" applyBorder="1" applyAlignment="1">
      <alignment horizontal="center"/>
    </xf>
    <xf numFmtId="0" fontId="0" fillId="0" borderId="5" xfId="0" applyBorder="1" applyAlignment="1">
      <alignment wrapText="1"/>
    </xf>
    <xf numFmtId="0" fontId="0" fillId="12" borderId="13" xfId="0" applyFill="1" applyBorder="1" applyAlignment="1">
      <alignment horizontal="center"/>
    </xf>
    <xf numFmtId="4" fontId="0" fillId="0" borderId="0" xfId="0" applyNumberFormat="1" applyBorder="1"/>
    <xf numFmtId="0" fontId="16" fillId="0" borderId="0" xfId="0" applyFont="1" applyBorder="1"/>
    <xf numFmtId="0" fontId="34" fillId="0" borderId="0" xfId="0" applyFont="1"/>
    <xf numFmtId="0" fontId="0" fillId="0" borderId="0" xfId="0" applyFont="1" applyAlignment="1">
      <alignment horizontal="left" vertical="top" wrapText="1"/>
    </xf>
    <xf numFmtId="0" fontId="7" fillId="0" borderId="49" xfId="2" applyFont="1" applyFill="1" applyBorder="1"/>
    <xf numFmtId="44" fontId="0" fillId="0" borderId="16" xfId="0" applyNumberFormat="1" applyFill="1" applyBorder="1" applyAlignment="1">
      <alignment horizontal="center"/>
    </xf>
    <xf numFmtId="0" fontId="0" fillId="0" borderId="16" xfId="0" applyFill="1" applyBorder="1" applyAlignment="1">
      <alignment horizontal="center"/>
    </xf>
    <xf numFmtId="164" fontId="0" fillId="5" borderId="16" xfId="0" applyNumberFormat="1" applyFill="1" applyBorder="1" applyAlignment="1">
      <alignment horizontal="center"/>
    </xf>
    <xf numFmtId="0" fontId="3" fillId="15" borderId="48" xfId="0" applyFont="1" applyFill="1" applyBorder="1"/>
    <xf numFmtId="0" fontId="2" fillId="15" borderId="42" xfId="0" applyFont="1" applyFill="1" applyBorder="1" applyAlignment="1">
      <alignment horizontal="center"/>
    </xf>
    <xf numFmtId="164" fontId="2" fillId="15" borderId="42" xfId="0" applyNumberFormat="1" applyFont="1" applyFill="1" applyBorder="1" applyAlignment="1">
      <alignment horizontal="center"/>
    </xf>
    <xf numFmtId="0" fontId="2" fillId="15" borderId="55" xfId="0" applyFont="1" applyFill="1" applyBorder="1" applyAlignment="1">
      <alignment horizontal="center" wrapText="1"/>
    </xf>
    <xf numFmtId="0" fontId="0" fillId="5" borderId="1" xfId="0" applyFill="1" applyBorder="1" applyAlignment="1">
      <alignment horizontal="center" wrapText="1"/>
    </xf>
    <xf numFmtId="164" fontId="0" fillId="5" borderId="27" xfId="0" applyNumberFormat="1" applyFill="1" applyBorder="1" applyAlignment="1">
      <alignment horizontal="center"/>
    </xf>
    <xf numFmtId="164" fontId="2" fillId="15" borderId="0" xfId="0" applyNumberFormat="1" applyFont="1" applyFill="1" applyBorder="1" applyAlignment="1">
      <alignment horizontal="center"/>
    </xf>
    <xf numFmtId="164" fontId="0" fillId="5" borderId="0" xfId="0" applyNumberFormat="1" applyFill="1" applyBorder="1" applyAlignment="1">
      <alignment horizontal="center"/>
    </xf>
    <xf numFmtId="164" fontId="2" fillId="15" borderId="41" xfId="0" applyNumberFormat="1" applyFont="1" applyFill="1" applyBorder="1" applyAlignment="1">
      <alignment horizontal="center"/>
    </xf>
    <xf numFmtId="164" fontId="0" fillId="0" borderId="10" xfId="0" applyNumberFormat="1" applyBorder="1"/>
    <xf numFmtId="44" fontId="0" fillId="8" borderId="10" xfId="0" applyNumberFormat="1" applyFill="1" applyBorder="1" applyAlignment="1">
      <alignment horizontal="center"/>
    </xf>
    <xf numFmtId="164" fontId="0" fillId="5" borderId="43" xfId="0" applyNumberFormat="1" applyFill="1" applyBorder="1"/>
    <xf numFmtId="164" fontId="0" fillId="5" borderId="10" xfId="0" applyNumberFormat="1" applyFill="1" applyBorder="1"/>
    <xf numFmtId="164" fontId="0" fillId="4" borderId="10" xfId="0" applyNumberFormat="1" applyFill="1" applyBorder="1"/>
    <xf numFmtId="164" fontId="0" fillId="0" borderId="14" xfId="0" applyNumberFormat="1" applyBorder="1" applyAlignment="1">
      <alignment horizontal="center"/>
    </xf>
    <xf numFmtId="164" fontId="0" fillId="5" borderId="43" xfId="0" applyNumberFormat="1" applyFill="1" applyBorder="1" applyAlignment="1">
      <alignment horizontal="right"/>
    </xf>
    <xf numFmtId="164" fontId="0" fillId="0" borderId="55" xfId="0" applyNumberFormat="1" applyBorder="1"/>
    <xf numFmtId="0" fontId="0" fillId="0" borderId="14" xfId="0" applyBorder="1" applyAlignment="1">
      <alignment horizontal="center"/>
    </xf>
    <xf numFmtId="0" fontId="18" fillId="0" borderId="1" xfId="3" applyBorder="1" applyAlignment="1">
      <alignment wrapText="1"/>
    </xf>
    <xf numFmtId="0" fontId="0" fillId="0" borderId="15" xfId="0" applyBorder="1" applyAlignment="1">
      <alignment vertical="top" wrapText="1"/>
    </xf>
  </cellXfs>
  <cellStyles count="5">
    <cellStyle name="Bad" xfId="2" builtinId="27"/>
    <cellStyle name="Currency" xfId="1" builtinId="4"/>
    <cellStyle name="Hyperlink" xfId="3" builtinId="8"/>
    <cellStyle name="Normal" xfId="0" builtinId="0"/>
    <cellStyle name="Percent" xfId="4"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Cost of 3D Options</a:t>
            </a:r>
          </a:p>
        </c:rich>
      </c:tx>
      <c:layout>
        <c:manualLayout>
          <c:xMode val="edge"/>
          <c:yMode val="edge"/>
          <c:x val="0.38616966457174506"/>
          <c:y val="0.91102257636122175"/>
        </c:manualLayout>
      </c:layout>
      <c:overlay val="1"/>
    </c:title>
    <c:autoTitleDeleted val="0"/>
    <c:view3D>
      <c:rotX val="15"/>
      <c:rotY val="20"/>
      <c:rAngAx val="1"/>
    </c:view3D>
    <c:floor>
      <c:thickness val="0"/>
    </c:floor>
    <c:sideWall>
      <c:thickness val="0"/>
    </c:sideWall>
    <c:backWall>
      <c:thickness val="0"/>
    </c:backWall>
    <c:plotArea>
      <c:layout>
        <c:manualLayout>
          <c:layoutTarget val="inner"/>
          <c:xMode val="edge"/>
          <c:yMode val="edge"/>
          <c:x val="0.23024609309157457"/>
          <c:y val="2.9488764103690227E-2"/>
          <c:w val="0.72649750776565769"/>
          <c:h val="0.64048017902144705"/>
        </c:manualLayout>
      </c:layout>
      <c:bar3DChart>
        <c:barDir val="col"/>
        <c:grouping val="clustered"/>
        <c:varyColors val="0"/>
        <c:ser>
          <c:idx val="0"/>
          <c:order val="0"/>
          <c:spPr>
            <a:solidFill>
              <a:srgbClr val="92D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Results'!$L$9,'Summary Results'!$L$13,'Summary Results'!$L$17,'Summary Results'!$L$21,'Summary Results'!$L$25,'Summary Results'!$L$29,'Summary Results'!$L$33,'Summary Results'!$L$37,'Summary Results'!$L$45,'Summary Results'!$L$49)</c:f>
              <c:strCache>
                <c:ptCount val="10"/>
                <c:pt idx="0">
                  <c:v>Vaccination</c:v>
                </c:pt>
                <c:pt idx="1">
                  <c:v>Depopulation</c:v>
                </c:pt>
                <c:pt idx="2">
                  <c:v>Composting</c:v>
                </c:pt>
                <c:pt idx="3">
                  <c:v>Rendering</c:v>
                </c:pt>
                <c:pt idx="4">
                  <c:v>Off-site Incineration</c:v>
                </c:pt>
                <c:pt idx="5">
                  <c:v>On-site Incineration</c:v>
                </c:pt>
                <c:pt idx="6">
                  <c:v>Off-site Landfill Burial</c:v>
                </c:pt>
                <c:pt idx="7">
                  <c:v>On-site Burial</c:v>
                </c:pt>
                <c:pt idx="8">
                  <c:v>Facility Decontamination</c:v>
                </c:pt>
                <c:pt idx="9">
                  <c:v>Sampling</c:v>
                </c:pt>
              </c:strCache>
            </c:strRef>
          </c:cat>
          <c:val>
            <c:numRef>
              <c:f>('Summary Results'!$K$9,'Summary Results'!$K$13,'Summary Results'!$K$17,'Summary Results'!$K$21,'Summary Results'!$K$25,'Summary Results'!$K$29,'Summary Results'!$K$33,'Summary Results'!$K$37,'Summary Results'!$K$45,'Summary Results'!$K$49)</c:f>
              <c:numCache>
                <c:formatCode>_("$"* #,##0.00_);_("$"* \(#,##0.00\);_("$"* "-"??_);_(@_)</c:formatCode>
                <c:ptCount val="10"/>
                <c:pt idx="0">
                  <c:v>28990903.72857143</c:v>
                </c:pt>
                <c:pt idx="1">
                  <c:v>103923930.53333333</c:v>
                </c:pt>
                <c:pt idx="2">
                  <c:v>109675234</c:v>
                </c:pt>
                <c:pt idx="3">
                  <c:v>73580985</c:v>
                </c:pt>
                <c:pt idx="4">
                  <c:v>81664818.333333328</c:v>
                </c:pt>
                <c:pt idx="5">
                  <c:v>122738712.5</c:v>
                </c:pt>
                <c:pt idx="6">
                  <c:v>90480181.666666672</c:v>
                </c:pt>
                <c:pt idx="7">
                  <c:v>30809575.202702701</c:v>
                </c:pt>
                <c:pt idx="8">
                  <c:v>1340333.0428571429</c:v>
                </c:pt>
                <c:pt idx="9">
                  <c:v>3416324.2648809524</c:v>
                </c:pt>
              </c:numCache>
            </c:numRef>
          </c:val>
        </c:ser>
        <c:dLbls>
          <c:showLegendKey val="0"/>
          <c:showVal val="0"/>
          <c:showCatName val="0"/>
          <c:showSerName val="0"/>
          <c:showPercent val="0"/>
          <c:showBubbleSize val="0"/>
        </c:dLbls>
        <c:gapWidth val="150"/>
        <c:shape val="box"/>
        <c:axId val="419501944"/>
        <c:axId val="419502336"/>
        <c:axId val="0"/>
      </c:bar3DChart>
      <c:catAx>
        <c:axId val="419501944"/>
        <c:scaling>
          <c:orientation val="minMax"/>
        </c:scaling>
        <c:delete val="0"/>
        <c:axPos val="b"/>
        <c:numFmt formatCode="General" sourceLinked="0"/>
        <c:majorTickMark val="out"/>
        <c:minorTickMark val="none"/>
        <c:tickLblPos val="nextTo"/>
        <c:crossAx val="419502336"/>
        <c:crosses val="autoZero"/>
        <c:auto val="1"/>
        <c:lblAlgn val="ctr"/>
        <c:lblOffset val="100"/>
        <c:noMultiLvlLbl val="0"/>
      </c:catAx>
      <c:valAx>
        <c:axId val="419502336"/>
        <c:scaling>
          <c:orientation val="minMax"/>
        </c:scaling>
        <c:delete val="0"/>
        <c:axPos val="l"/>
        <c:majorGridlines/>
        <c:numFmt formatCode="_(&quot;$&quot;* #,##0.00_);_(&quot;$&quot;* \(#,##0.00\);_(&quot;$&quot;* &quot;-&quot;??_);_(@_)" sourceLinked="1"/>
        <c:majorTickMark val="out"/>
        <c:minorTickMark val="none"/>
        <c:tickLblPos val="nextTo"/>
        <c:crossAx val="419501944"/>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0.12782312743183433"/>
          <c:y val="4.57898690215204E-2"/>
          <c:w val="0.83895678951795805"/>
          <c:h val="0.58470109631152511"/>
        </c:manualLayout>
      </c:layout>
      <c:bar3DChart>
        <c:barDir val="col"/>
        <c:grouping val="clustered"/>
        <c:varyColors val="0"/>
        <c:ser>
          <c:idx val="0"/>
          <c:order val="0"/>
          <c:spPr>
            <a:solidFill>
              <a:schemeClr val="accent2">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Results'!$L$9,'Summary Results'!$L$13,'Summary Results'!$L$17,'Summary Results'!$L$21,'Summary Results'!$L$25,'Summary Results'!$L$29,'Summary Results'!$L$33,'Summary Results'!$L$37,'Summary Results'!$L$45,'Summary Results'!$L$49)</c:f>
              <c:strCache>
                <c:ptCount val="10"/>
                <c:pt idx="0">
                  <c:v>Vaccination</c:v>
                </c:pt>
                <c:pt idx="1">
                  <c:v>Depopulation</c:v>
                </c:pt>
                <c:pt idx="2">
                  <c:v>Composting</c:v>
                </c:pt>
                <c:pt idx="3">
                  <c:v>Rendering</c:v>
                </c:pt>
                <c:pt idx="4">
                  <c:v>Off-site Incineration</c:v>
                </c:pt>
                <c:pt idx="5">
                  <c:v>On-site Incineration</c:v>
                </c:pt>
                <c:pt idx="6">
                  <c:v>Off-site Landfill Burial</c:v>
                </c:pt>
                <c:pt idx="7">
                  <c:v>On-site Burial</c:v>
                </c:pt>
                <c:pt idx="8">
                  <c:v>Facility Decontamination</c:v>
                </c:pt>
                <c:pt idx="9">
                  <c:v>Sampling</c:v>
                </c:pt>
              </c:strCache>
            </c:strRef>
          </c:cat>
          <c:val>
            <c:numRef>
              <c:f>('Summary Results'!$C$9,'Summary Results'!$C$13,'Summary Results'!$C$17,'Summary Results'!$C$21,'Summary Results'!$C$25,'Summary Results'!$C$29,'Summary Results'!$C$33,'Summary Results'!$C$37,'Summary Results'!$C$45,'Summary Results'!$C$49)</c:f>
              <c:numCache>
                <c:formatCode>0.0</c:formatCode>
                <c:ptCount val="10"/>
                <c:pt idx="0">
                  <c:v>159.28333333333336</c:v>
                </c:pt>
                <c:pt idx="1">
                  <c:v>151.66666666666669</c:v>
                </c:pt>
                <c:pt idx="2">
                  <c:v>280</c:v>
                </c:pt>
                <c:pt idx="3">
                  <c:v>7205.3666666666659</c:v>
                </c:pt>
                <c:pt idx="4">
                  <c:v>14485.366666666665</c:v>
                </c:pt>
                <c:pt idx="5">
                  <c:v>4550</c:v>
                </c:pt>
                <c:pt idx="6">
                  <c:v>18124.166666666668</c:v>
                </c:pt>
                <c:pt idx="7">
                  <c:v>614.86486486486478</c:v>
                </c:pt>
                <c:pt idx="8">
                  <c:v>38.25</c:v>
                </c:pt>
                <c:pt idx="9">
                  <c:v>63.208333333333329</c:v>
                </c:pt>
              </c:numCache>
            </c:numRef>
          </c:val>
        </c:ser>
        <c:dLbls>
          <c:showLegendKey val="0"/>
          <c:showVal val="0"/>
          <c:showCatName val="0"/>
          <c:showSerName val="0"/>
          <c:showPercent val="0"/>
          <c:showBubbleSize val="0"/>
        </c:dLbls>
        <c:gapWidth val="150"/>
        <c:shape val="box"/>
        <c:axId val="426883120"/>
        <c:axId val="426887432"/>
        <c:axId val="0"/>
      </c:bar3DChart>
      <c:catAx>
        <c:axId val="426883120"/>
        <c:scaling>
          <c:orientation val="minMax"/>
        </c:scaling>
        <c:delete val="0"/>
        <c:axPos val="b"/>
        <c:numFmt formatCode="General" sourceLinked="0"/>
        <c:majorTickMark val="out"/>
        <c:minorTickMark val="none"/>
        <c:tickLblPos val="nextTo"/>
        <c:crossAx val="426887432"/>
        <c:crosses val="autoZero"/>
        <c:auto val="1"/>
        <c:lblAlgn val="ctr"/>
        <c:lblOffset val="100"/>
        <c:noMultiLvlLbl val="0"/>
      </c:catAx>
      <c:valAx>
        <c:axId val="426887432"/>
        <c:scaling>
          <c:orientation val="minMax"/>
        </c:scaling>
        <c:delete val="0"/>
        <c:axPos val="l"/>
        <c:majorGridlines/>
        <c:numFmt formatCode="0.0" sourceLinked="1"/>
        <c:majorTickMark val="out"/>
        <c:minorTickMark val="none"/>
        <c:tickLblPos val="nextTo"/>
        <c:crossAx val="426883120"/>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of 3D Options in the Infected Zone</a:t>
            </a:r>
          </a:p>
        </c:rich>
      </c:tx>
      <c:layout>
        <c:manualLayout>
          <c:xMode val="edge"/>
          <c:yMode val="edge"/>
          <c:x val="0.30971706518336584"/>
          <c:y val="0.89774236387782202"/>
        </c:manualLayout>
      </c:layout>
      <c:overlay val="1"/>
    </c:title>
    <c:autoTitleDeleted val="0"/>
    <c:view3D>
      <c:rotX val="15"/>
      <c:rotY val="20"/>
      <c:rAngAx val="1"/>
    </c:view3D>
    <c:floor>
      <c:thickness val="0"/>
    </c:floor>
    <c:sideWall>
      <c:thickness val="0"/>
    </c:sideWall>
    <c:backWall>
      <c:thickness val="0"/>
    </c:backWall>
    <c:plotArea>
      <c:layout>
        <c:manualLayout>
          <c:layoutTarget val="inner"/>
          <c:xMode val="edge"/>
          <c:yMode val="edge"/>
          <c:x val="0.23024609309157457"/>
          <c:y val="2.9488764103690227E-2"/>
          <c:w val="0.72649750776565769"/>
          <c:h val="0.64048017902144705"/>
        </c:manualLayout>
      </c:layout>
      <c:bar3DChart>
        <c:barDir val="col"/>
        <c:grouping val="clustered"/>
        <c:varyColors val="0"/>
        <c:ser>
          <c:idx val="0"/>
          <c:order val="0"/>
          <c:spPr>
            <a:solidFill>
              <a:srgbClr val="92D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Results'!$L$9,'Summary Results'!$L$13,'Summary Results'!$L$17,'Summary Results'!$L$21,'Summary Results'!$L$25,'Summary Results'!$L$29,'Summary Results'!$L$33,'Summary Results'!$L$37,'Summary Results'!$L$45,'Summary Results'!$L$49)</c:f>
              <c:strCache>
                <c:ptCount val="10"/>
                <c:pt idx="0">
                  <c:v>Vaccination</c:v>
                </c:pt>
                <c:pt idx="1">
                  <c:v>Depopulation</c:v>
                </c:pt>
                <c:pt idx="2">
                  <c:v>Composting</c:v>
                </c:pt>
                <c:pt idx="3">
                  <c:v>Rendering</c:v>
                </c:pt>
                <c:pt idx="4">
                  <c:v>Off-site Incineration</c:v>
                </c:pt>
                <c:pt idx="5">
                  <c:v>On-site Incineration</c:v>
                </c:pt>
                <c:pt idx="6">
                  <c:v>Off-site Landfill Burial</c:v>
                </c:pt>
                <c:pt idx="7">
                  <c:v>On-site Burial</c:v>
                </c:pt>
                <c:pt idx="8">
                  <c:v>Facility Decontamination</c:v>
                </c:pt>
                <c:pt idx="9">
                  <c:v>Sampling</c:v>
                </c:pt>
              </c:strCache>
            </c:strRef>
          </c:cat>
          <c:val>
            <c:numRef>
              <c:f>('Summary Results'!$K$6,'Summary Results'!$K$11,'Summary Results'!$K$15,'Summary Results'!$K$19,'Summary Results'!$K$23,'Summary Results'!$K$27,'Summary Results'!$K$31,'Summary Results'!$K$35,'Summary Results'!$K$43,'Summary Results'!$K$47)</c:f>
              <c:numCache>
                <c:formatCode>_("$"* #,##0.00_);_("$"* \(#,##0.00\);_("$"* "-"??_);_(@_)</c:formatCode>
                <c:ptCount val="10"/>
                <c:pt idx="0">
                  <c:v>11830545.62534567</c:v>
                </c:pt>
                <c:pt idx="1">
                  <c:v>44538827.371428572</c:v>
                </c:pt>
                <c:pt idx="2">
                  <c:v>47003671.714285709</c:v>
                </c:pt>
                <c:pt idx="3">
                  <c:v>31963355</c:v>
                </c:pt>
                <c:pt idx="4">
                  <c:v>35427855</c:v>
                </c:pt>
                <c:pt idx="5">
                  <c:v>52602305.357142858</c:v>
                </c:pt>
                <c:pt idx="6">
                  <c:v>38777296.428571433</c:v>
                </c:pt>
                <c:pt idx="7">
                  <c:v>13204103.658301156</c:v>
                </c:pt>
                <c:pt idx="8">
                  <c:v>561622.05714285723</c:v>
                </c:pt>
                <c:pt idx="9">
                  <c:v>1416458.7043650795</c:v>
                </c:pt>
              </c:numCache>
            </c:numRef>
          </c:val>
        </c:ser>
        <c:dLbls>
          <c:showLegendKey val="0"/>
          <c:showVal val="0"/>
          <c:showCatName val="0"/>
          <c:showSerName val="0"/>
          <c:showPercent val="0"/>
          <c:showBubbleSize val="0"/>
        </c:dLbls>
        <c:gapWidth val="150"/>
        <c:shape val="box"/>
        <c:axId val="420047208"/>
        <c:axId val="337834904"/>
        <c:axId val="0"/>
      </c:bar3DChart>
      <c:catAx>
        <c:axId val="420047208"/>
        <c:scaling>
          <c:orientation val="minMax"/>
        </c:scaling>
        <c:delete val="0"/>
        <c:axPos val="b"/>
        <c:numFmt formatCode="General" sourceLinked="0"/>
        <c:majorTickMark val="out"/>
        <c:minorTickMark val="none"/>
        <c:tickLblPos val="nextTo"/>
        <c:crossAx val="337834904"/>
        <c:crosses val="autoZero"/>
        <c:auto val="1"/>
        <c:lblAlgn val="ctr"/>
        <c:lblOffset val="100"/>
        <c:noMultiLvlLbl val="0"/>
      </c:catAx>
      <c:valAx>
        <c:axId val="337834904"/>
        <c:scaling>
          <c:orientation val="minMax"/>
        </c:scaling>
        <c:delete val="0"/>
        <c:axPos val="l"/>
        <c:majorGridlines/>
        <c:numFmt formatCode="_(&quot;$&quot;* #,##0.00_);_(&quot;$&quot;* \(#,##0.00\);_(&quot;$&quot;* &quot;-&quot;??_);_(@_)" sourceLinked="1"/>
        <c:majorTickMark val="out"/>
        <c:minorTickMark val="none"/>
        <c:tickLblPos val="nextTo"/>
        <c:crossAx val="420047208"/>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of 3D Options in the Buffer Zone</a:t>
            </a:r>
          </a:p>
        </c:rich>
      </c:tx>
      <c:layout>
        <c:manualLayout>
          <c:xMode val="edge"/>
          <c:yMode val="edge"/>
          <c:x val="0.30971706518336584"/>
          <c:y val="0.89774236387782202"/>
        </c:manualLayout>
      </c:layout>
      <c:overlay val="1"/>
    </c:title>
    <c:autoTitleDeleted val="0"/>
    <c:view3D>
      <c:rotX val="15"/>
      <c:rotY val="20"/>
      <c:rAngAx val="1"/>
    </c:view3D>
    <c:floor>
      <c:thickness val="0"/>
    </c:floor>
    <c:sideWall>
      <c:thickness val="0"/>
    </c:sideWall>
    <c:backWall>
      <c:thickness val="0"/>
    </c:backWall>
    <c:plotArea>
      <c:layout>
        <c:manualLayout>
          <c:layoutTarget val="inner"/>
          <c:xMode val="edge"/>
          <c:yMode val="edge"/>
          <c:x val="0.23024609309157457"/>
          <c:y val="2.9488764103690227E-2"/>
          <c:w val="0.72649750776565769"/>
          <c:h val="0.64048017902144705"/>
        </c:manualLayout>
      </c:layout>
      <c:bar3DChart>
        <c:barDir val="col"/>
        <c:grouping val="clustered"/>
        <c:varyColors val="0"/>
        <c:ser>
          <c:idx val="0"/>
          <c:order val="0"/>
          <c:spPr>
            <a:solidFill>
              <a:srgbClr val="92D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Results'!$L$9,'Summary Results'!$L$13,'Summary Results'!$L$17,'Summary Results'!$L$21,'Summary Results'!$L$25,'Summary Results'!$L$29,'Summary Results'!$L$33,'Summary Results'!$L$37,'Summary Results'!$L$45,'Summary Results'!$L$49)</c:f>
              <c:strCache>
                <c:ptCount val="10"/>
                <c:pt idx="0">
                  <c:v>Vaccination</c:v>
                </c:pt>
                <c:pt idx="1">
                  <c:v>Depopulation</c:v>
                </c:pt>
                <c:pt idx="2">
                  <c:v>Composting</c:v>
                </c:pt>
                <c:pt idx="3">
                  <c:v>Rendering</c:v>
                </c:pt>
                <c:pt idx="4">
                  <c:v>Off-site Incineration</c:v>
                </c:pt>
                <c:pt idx="5">
                  <c:v>On-site Incineration</c:v>
                </c:pt>
                <c:pt idx="6">
                  <c:v>Off-site Landfill Burial</c:v>
                </c:pt>
                <c:pt idx="7">
                  <c:v>On-site Burial</c:v>
                </c:pt>
                <c:pt idx="8">
                  <c:v>Facility Decontamination</c:v>
                </c:pt>
                <c:pt idx="9">
                  <c:v>Sampling</c:v>
                </c:pt>
              </c:strCache>
            </c:strRef>
          </c:cat>
          <c:val>
            <c:numRef>
              <c:f>('Summary Results'!$K$7,'Summary Results'!$K$12,'Summary Results'!$K$16,'Summary Results'!$K$20,'Summary Results'!$K$24,'Summary Results'!$K$28,'Summary Results'!$K$32,'Summary Results'!$K$36,'Summary Results'!$K$44,'Summary Results'!$K$48)</c:f>
              <c:numCache>
                <c:formatCode>_("$"* #,##0.00_);_("$"* \(#,##0.00\);_("$"* "-"??_);_(@_)</c:formatCode>
                <c:ptCount val="10"/>
                <c:pt idx="0">
                  <c:v>15774060.833794229</c:v>
                </c:pt>
                <c:pt idx="1">
                  <c:v>59385103.16190476</c:v>
                </c:pt>
                <c:pt idx="2">
                  <c:v>62671562.285714284</c:v>
                </c:pt>
                <c:pt idx="3">
                  <c:v>41617630</c:v>
                </c:pt>
                <c:pt idx="4">
                  <c:v>46236963.333333328</c:v>
                </c:pt>
                <c:pt idx="5">
                  <c:v>70136407.142857134</c:v>
                </c:pt>
                <c:pt idx="6">
                  <c:v>51702885.238095239</c:v>
                </c:pt>
                <c:pt idx="7">
                  <c:v>17605471.544401545</c:v>
                </c:pt>
                <c:pt idx="8">
                  <c:v>778710.98571428563</c:v>
                </c:pt>
                <c:pt idx="9">
                  <c:v>1999865.5605158729</c:v>
                </c:pt>
              </c:numCache>
            </c:numRef>
          </c:val>
        </c:ser>
        <c:dLbls>
          <c:showLegendKey val="0"/>
          <c:showVal val="0"/>
          <c:showCatName val="0"/>
          <c:showSerName val="0"/>
          <c:showPercent val="0"/>
          <c:showBubbleSize val="0"/>
        </c:dLbls>
        <c:gapWidth val="150"/>
        <c:shape val="box"/>
        <c:axId val="448851496"/>
        <c:axId val="448858944"/>
        <c:axId val="0"/>
      </c:bar3DChart>
      <c:catAx>
        <c:axId val="448851496"/>
        <c:scaling>
          <c:orientation val="minMax"/>
        </c:scaling>
        <c:delete val="0"/>
        <c:axPos val="b"/>
        <c:numFmt formatCode="General" sourceLinked="0"/>
        <c:majorTickMark val="out"/>
        <c:minorTickMark val="none"/>
        <c:tickLblPos val="nextTo"/>
        <c:crossAx val="448858944"/>
        <c:crosses val="autoZero"/>
        <c:auto val="1"/>
        <c:lblAlgn val="ctr"/>
        <c:lblOffset val="100"/>
        <c:noMultiLvlLbl val="0"/>
      </c:catAx>
      <c:valAx>
        <c:axId val="448858944"/>
        <c:scaling>
          <c:orientation val="minMax"/>
        </c:scaling>
        <c:delete val="0"/>
        <c:axPos val="l"/>
        <c:majorGridlines/>
        <c:numFmt formatCode="_(&quot;$&quot;* #,##0.00_);_(&quot;$&quot;* \(#,##0.00\);_(&quot;$&quot;* &quot;-&quot;??_);_(@_)" sourceLinked="1"/>
        <c:majorTickMark val="out"/>
        <c:minorTickMark val="none"/>
        <c:tickLblPos val="nextTo"/>
        <c:crossAx val="448851496"/>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0.12782312743183433"/>
          <c:y val="4.57898690215204E-2"/>
          <c:w val="0.83895678951795805"/>
          <c:h val="0.58470109631152511"/>
        </c:manualLayout>
      </c:layout>
      <c:bar3DChart>
        <c:barDir val="col"/>
        <c:grouping val="clustered"/>
        <c:varyColors val="0"/>
        <c:ser>
          <c:idx val="0"/>
          <c:order val="0"/>
          <c:spPr>
            <a:solidFill>
              <a:schemeClr val="accent2">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Results'!$L$9,'Summary Results'!$L$13,'Summary Results'!$L$17,'Summary Results'!$L$21,'Summary Results'!$L$25,'Summary Results'!$L$29,'Summary Results'!$L$33,'Summary Results'!$L$37,'Summary Results'!$L$45,'Summary Results'!$L$49)</c:f>
              <c:strCache>
                <c:ptCount val="10"/>
                <c:pt idx="0">
                  <c:v>Vaccination</c:v>
                </c:pt>
                <c:pt idx="1">
                  <c:v>Depopulation</c:v>
                </c:pt>
                <c:pt idx="2">
                  <c:v>Composting</c:v>
                </c:pt>
                <c:pt idx="3">
                  <c:v>Rendering</c:v>
                </c:pt>
                <c:pt idx="4">
                  <c:v>Off-site Incineration</c:v>
                </c:pt>
                <c:pt idx="5">
                  <c:v>On-site Incineration</c:v>
                </c:pt>
                <c:pt idx="6">
                  <c:v>Off-site Landfill Burial</c:v>
                </c:pt>
                <c:pt idx="7">
                  <c:v>On-site Burial</c:v>
                </c:pt>
                <c:pt idx="8">
                  <c:v>Facility Decontamination</c:v>
                </c:pt>
                <c:pt idx="9">
                  <c:v>Sampling</c:v>
                </c:pt>
              </c:strCache>
            </c:strRef>
          </c:cat>
          <c:val>
            <c:numRef>
              <c:f>('Summary Results'!$C$6,'Summary Results'!$C$11,'Summary Results'!$C$15,'Summary Results'!$C$19,'Summary Results'!$C$23,'Summary Results'!$C$27,'Summary Results'!$C$31,'Summary Results'!$C$35,'Summary Results'!$C$43,'Summary Results'!$C$47)</c:f>
              <c:numCache>
                <c:formatCode>0.0</c:formatCode>
                <c:ptCount val="10"/>
                <c:pt idx="0">
                  <c:v>65</c:v>
                </c:pt>
                <c:pt idx="1">
                  <c:v>65</c:v>
                </c:pt>
                <c:pt idx="2">
                  <c:v>120</c:v>
                </c:pt>
                <c:pt idx="3">
                  <c:v>3088.0142857142855</c:v>
                </c:pt>
                <c:pt idx="4">
                  <c:v>6208.0142857142855</c:v>
                </c:pt>
                <c:pt idx="5">
                  <c:v>1950</c:v>
                </c:pt>
                <c:pt idx="6">
                  <c:v>7767.5</c:v>
                </c:pt>
                <c:pt idx="7">
                  <c:v>263.51351351351349</c:v>
                </c:pt>
                <c:pt idx="8">
                  <c:v>16</c:v>
                </c:pt>
                <c:pt idx="9">
                  <c:v>26.194444444444443</c:v>
                </c:pt>
              </c:numCache>
            </c:numRef>
          </c:val>
        </c:ser>
        <c:dLbls>
          <c:showLegendKey val="0"/>
          <c:showVal val="0"/>
          <c:showCatName val="0"/>
          <c:showSerName val="0"/>
          <c:showPercent val="0"/>
          <c:showBubbleSize val="0"/>
        </c:dLbls>
        <c:gapWidth val="150"/>
        <c:shape val="box"/>
        <c:axId val="448855024"/>
        <c:axId val="448854240"/>
        <c:axId val="0"/>
      </c:bar3DChart>
      <c:catAx>
        <c:axId val="448855024"/>
        <c:scaling>
          <c:orientation val="minMax"/>
        </c:scaling>
        <c:delete val="0"/>
        <c:axPos val="b"/>
        <c:numFmt formatCode="General" sourceLinked="0"/>
        <c:majorTickMark val="out"/>
        <c:minorTickMark val="none"/>
        <c:tickLblPos val="nextTo"/>
        <c:crossAx val="448854240"/>
        <c:crosses val="autoZero"/>
        <c:auto val="1"/>
        <c:lblAlgn val="ctr"/>
        <c:lblOffset val="100"/>
        <c:noMultiLvlLbl val="0"/>
      </c:catAx>
      <c:valAx>
        <c:axId val="448854240"/>
        <c:scaling>
          <c:orientation val="minMax"/>
        </c:scaling>
        <c:delete val="0"/>
        <c:axPos val="l"/>
        <c:majorGridlines/>
        <c:numFmt formatCode="0.0" sourceLinked="1"/>
        <c:majorTickMark val="out"/>
        <c:minorTickMark val="none"/>
        <c:tickLblPos val="nextTo"/>
        <c:crossAx val="448855024"/>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0.12782312743183433"/>
          <c:y val="4.57898690215204E-2"/>
          <c:w val="0.83895678951795805"/>
          <c:h val="0.58470109631152511"/>
        </c:manualLayout>
      </c:layout>
      <c:bar3DChart>
        <c:barDir val="col"/>
        <c:grouping val="clustered"/>
        <c:varyColors val="0"/>
        <c:ser>
          <c:idx val="0"/>
          <c:order val="0"/>
          <c:spPr>
            <a:solidFill>
              <a:schemeClr val="accent2">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Results'!$L$9,'Summary Results'!$L$13,'Summary Results'!$L$17,'Summary Results'!$L$21,'Summary Results'!$L$25,'Summary Results'!$L$29,'Summary Results'!$L$33,'Summary Results'!$L$37,'Summary Results'!$L$45,'Summary Results'!$L$49)</c:f>
              <c:strCache>
                <c:ptCount val="10"/>
                <c:pt idx="0">
                  <c:v>Vaccination</c:v>
                </c:pt>
                <c:pt idx="1">
                  <c:v>Depopulation</c:v>
                </c:pt>
                <c:pt idx="2">
                  <c:v>Composting</c:v>
                </c:pt>
                <c:pt idx="3">
                  <c:v>Rendering</c:v>
                </c:pt>
                <c:pt idx="4">
                  <c:v>Off-site Incineration</c:v>
                </c:pt>
                <c:pt idx="5">
                  <c:v>On-site Incineration</c:v>
                </c:pt>
                <c:pt idx="6">
                  <c:v>Off-site Landfill Burial</c:v>
                </c:pt>
                <c:pt idx="7">
                  <c:v>On-site Burial</c:v>
                </c:pt>
                <c:pt idx="8">
                  <c:v>Facility Decontamination</c:v>
                </c:pt>
                <c:pt idx="9">
                  <c:v>Sampling</c:v>
                </c:pt>
              </c:strCache>
            </c:strRef>
          </c:cat>
          <c:val>
            <c:numRef>
              <c:f>('Summary Results'!$C$7,'Summary Results'!$C$12,'Summary Results'!$C$16,'Summary Results'!$C$20,'Summary Results'!$C$24,'Summary Results'!$C$28,'Summary Results'!$C$32,'Summary Results'!$C$36,'Summary Results'!$C$44,'Summary Results'!$C$48)</c:f>
              <c:numCache>
                <c:formatCode>0.0</c:formatCode>
                <c:ptCount val="10"/>
                <c:pt idx="0" formatCode="General">
                  <c:v>86.666666666666671</c:v>
                </c:pt>
                <c:pt idx="1">
                  <c:v>86.666666666666671</c:v>
                </c:pt>
                <c:pt idx="2">
                  <c:v>160</c:v>
                </c:pt>
                <c:pt idx="3">
                  <c:v>4117.3523809523804</c:v>
                </c:pt>
                <c:pt idx="4">
                  <c:v>8277.3523809523795</c:v>
                </c:pt>
                <c:pt idx="5">
                  <c:v>2600</c:v>
                </c:pt>
                <c:pt idx="6">
                  <c:v>10356.666666666668</c:v>
                </c:pt>
                <c:pt idx="7">
                  <c:v>351.35135135135135</c:v>
                </c:pt>
                <c:pt idx="8">
                  <c:v>22.25</c:v>
                </c:pt>
                <c:pt idx="9">
                  <c:v>37.013888888888886</c:v>
                </c:pt>
              </c:numCache>
            </c:numRef>
          </c:val>
        </c:ser>
        <c:dLbls>
          <c:showLegendKey val="0"/>
          <c:showVal val="0"/>
          <c:showCatName val="0"/>
          <c:showSerName val="0"/>
          <c:showPercent val="0"/>
          <c:showBubbleSize val="0"/>
        </c:dLbls>
        <c:gapWidth val="150"/>
        <c:shape val="box"/>
        <c:axId val="448853064"/>
        <c:axId val="448855416"/>
        <c:axId val="0"/>
      </c:bar3DChart>
      <c:catAx>
        <c:axId val="448853064"/>
        <c:scaling>
          <c:orientation val="minMax"/>
        </c:scaling>
        <c:delete val="0"/>
        <c:axPos val="b"/>
        <c:numFmt formatCode="General" sourceLinked="0"/>
        <c:majorTickMark val="out"/>
        <c:minorTickMark val="none"/>
        <c:tickLblPos val="nextTo"/>
        <c:crossAx val="448855416"/>
        <c:crosses val="autoZero"/>
        <c:auto val="1"/>
        <c:lblAlgn val="ctr"/>
        <c:lblOffset val="100"/>
        <c:noMultiLvlLbl val="0"/>
      </c:catAx>
      <c:valAx>
        <c:axId val="448855416"/>
        <c:scaling>
          <c:orientation val="minMax"/>
        </c:scaling>
        <c:delete val="0"/>
        <c:axPos val="l"/>
        <c:majorGridlines/>
        <c:numFmt formatCode="General" sourceLinked="1"/>
        <c:majorTickMark val="out"/>
        <c:minorTickMark val="none"/>
        <c:tickLblPos val="nextTo"/>
        <c:crossAx val="448853064"/>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11</xdr:col>
      <xdr:colOff>514350</xdr:colOff>
      <xdr:row>1</xdr:row>
      <xdr:rowOff>57150</xdr:rowOff>
    </xdr:from>
    <xdr:to>
      <xdr:col>14</xdr:col>
      <xdr:colOff>209550</xdr:colOff>
      <xdr:row>2</xdr:row>
      <xdr:rowOff>249911</xdr:rowOff>
    </xdr:to>
    <xdr:pic>
      <xdr:nvPicPr>
        <xdr:cNvPr id="2" name="Picture 1" descr="SNL_color_stack.png"/>
        <xdr:cNvPicPr>
          <a:picLocks noChangeAspect="1"/>
        </xdr:cNvPicPr>
      </xdr:nvPicPr>
      <xdr:blipFill>
        <a:blip xmlns:r="http://schemas.openxmlformats.org/officeDocument/2006/relationships" r:embed="rId1"/>
        <a:srcRect/>
        <a:stretch>
          <a:fillRect/>
        </a:stretch>
      </xdr:blipFill>
      <xdr:spPr bwMode="auto">
        <a:xfrm>
          <a:off x="7219950" y="247650"/>
          <a:ext cx="1524000" cy="669011"/>
        </a:xfrm>
        <a:prstGeom prst="rect">
          <a:avLst/>
        </a:prstGeom>
        <a:noFill/>
        <a:ln w="9525">
          <a:noFill/>
          <a:miter lim="800000"/>
          <a:headEnd/>
          <a:tailEnd/>
        </a:ln>
      </xdr:spPr>
    </xdr:pic>
    <xdr:clientData/>
  </xdr:twoCellAnchor>
  <xdr:twoCellAnchor editAs="oneCell">
    <xdr:from>
      <xdr:col>15</xdr:col>
      <xdr:colOff>19050</xdr:colOff>
      <xdr:row>1</xdr:row>
      <xdr:rowOff>76199</xdr:rowOff>
    </xdr:from>
    <xdr:to>
      <xdr:col>18</xdr:col>
      <xdr:colOff>513802</xdr:colOff>
      <xdr:row>2</xdr:row>
      <xdr:rowOff>161924</xdr:rowOff>
    </xdr:to>
    <xdr:pic>
      <xdr:nvPicPr>
        <xdr:cNvPr id="3" name="Picture 2" descr="NNSAlogo_Black.jpg"/>
        <xdr:cNvPicPr>
          <a:picLocks noChangeAspect="1"/>
        </xdr:cNvPicPr>
      </xdr:nvPicPr>
      <xdr:blipFill>
        <a:blip xmlns:r="http://schemas.openxmlformats.org/officeDocument/2006/relationships" r:embed="rId2"/>
        <a:srcRect/>
        <a:stretch>
          <a:fillRect/>
        </a:stretch>
      </xdr:blipFill>
      <xdr:spPr bwMode="auto">
        <a:xfrm>
          <a:off x="9163050" y="266699"/>
          <a:ext cx="2323552" cy="561975"/>
        </a:xfrm>
        <a:prstGeom prst="rect">
          <a:avLst/>
        </a:prstGeom>
        <a:noFill/>
        <a:ln w="9525">
          <a:noFill/>
          <a:miter lim="800000"/>
          <a:headEnd/>
          <a:tailEnd/>
        </a:ln>
      </xdr:spPr>
    </xdr:pic>
    <xdr:clientData/>
  </xdr:twoCellAnchor>
  <xdr:twoCellAnchor editAs="oneCell">
    <xdr:from>
      <xdr:col>19</xdr:col>
      <xdr:colOff>228600</xdr:colOff>
      <xdr:row>1</xdr:row>
      <xdr:rowOff>19050</xdr:rowOff>
    </xdr:from>
    <xdr:to>
      <xdr:col>22</xdr:col>
      <xdr:colOff>453244</xdr:colOff>
      <xdr:row>2</xdr:row>
      <xdr:rowOff>209550</xdr:rowOff>
    </xdr:to>
    <xdr:pic>
      <xdr:nvPicPr>
        <xdr:cNvPr id="4" name="Picture 3" descr="NNSAlogo_Black.jpg"/>
        <xdr:cNvPicPr>
          <a:picLocks noChangeAspect="1"/>
        </xdr:cNvPicPr>
      </xdr:nvPicPr>
      <xdr:blipFill>
        <a:blip xmlns:r="http://schemas.openxmlformats.org/officeDocument/2006/relationships" r:embed="rId3"/>
        <a:stretch>
          <a:fillRect/>
        </a:stretch>
      </xdr:blipFill>
      <xdr:spPr bwMode="auto">
        <a:xfrm>
          <a:off x="11811000" y="209550"/>
          <a:ext cx="2053444" cy="666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xdr:row>
      <xdr:rowOff>114300</xdr:rowOff>
    </xdr:from>
    <xdr:to>
      <xdr:col>14</xdr:col>
      <xdr:colOff>438150</xdr:colOff>
      <xdr:row>26</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552450</xdr:colOff>
      <xdr:row>1</xdr:row>
      <xdr:rowOff>123823</xdr:rowOff>
    </xdr:from>
    <xdr:to>
      <xdr:col>29</xdr:col>
      <xdr:colOff>428625</xdr:colOff>
      <xdr:row>26</xdr:row>
      <xdr:rowOff>104774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29</xdr:row>
      <xdr:rowOff>0</xdr:rowOff>
    </xdr:from>
    <xdr:to>
      <xdr:col>14</xdr:col>
      <xdr:colOff>381000</xdr:colOff>
      <xdr:row>54</xdr:row>
      <xdr:rowOff>19050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56</xdr:row>
      <xdr:rowOff>0</xdr:rowOff>
    </xdr:from>
    <xdr:to>
      <xdr:col>14</xdr:col>
      <xdr:colOff>381000</xdr:colOff>
      <xdr:row>81</xdr:row>
      <xdr:rowOff>19050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28575</xdr:colOff>
      <xdr:row>29</xdr:row>
      <xdr:rowOff>0</xdr:rowOff>
    </xdr:from>
    <xdr:to>
      <xdr:col>29</xdr:col>
      <xdr:colOff>514350</xdr:colOff>
      <xdr:row>53</xdr:row>
      <xdr:rowOff>171451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56</xdr:row>
      <xdr:rowOff>0</xdr:rowOff>
    </xdr:from>
    <xdr:to>
      <xdr:col>29</xdr:col>
      <xdr:colOff>485775</xdr:colOff>
      <xdr:row>80</xdr:row>
      <xdr:rowOff>171451</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0.06766</cdr:x>
      <cdr:y>0.23506</cdr:y>
    </cdr:from>
    <cdr:to>
      <cdr:x>0.10894</cdr:x>
      <cdr:y>0.42629</cdr:y>
    </cdr:to>
    <cdr:sp macro="" textlink="">
      <cdr:nvSpPr>
        <cdr:cNvPr id="2" name="TextBox 1"/>
        <cdr:cNvSpPr txBox="1"/>
      </cdr:nvSpPr>
      <cdr:spPr>
        <a:xfrm xmlns:a="http://schemas.openxmlformats.org/drawingml/2006/main" rot="16200000">
          <a:off x="276225" y="1409700"/>
          <a:ext cx="914400" cy="3429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b="1"/>
            <a:t>Cost ($)</a:t>
          </a:r>
        </a:p>
      </cdr:txBody>
    </cdr:sp>
  </cdr:relSizeAnchor>
</c:userShapes>
</file>

<file path=xl/drawings/drawing4.xml><?xml version="1.0" encoding="utf-8"?>
<c:userShapes xmlns:c="http://schemas.openxmlformats.org/drawingml/2006/chart">
  <cdr:relSizeAnchor xmlns:cdr="http://schemas.openxmlformats.org/drawingml/2006/chartDrawing">
    <cdr:from>
      <cdr:x>0.26387</cdr:x>
      <cdr:y>0.87751</cdr:y>
    </cdr:from>
    <cdr:to>
      <cdr:x>0.78369</cdr:x>
      <cdr:y>0.97992</cdr:y>
    </cdr:to>
    <cdr:sp macro="" textlink="">
      <cdr:nvSpPr>
        <cdr:cNvPr id="2" name="TextBox 1"/>
        <cdr:cNvSpPr txBox="1"/>
      </cdr:nvSpPr>
      <cdr:spPr>
        <a:xfrm xmlns:a="http://schemas.openxmlformats.org/drawingml/2006/main">
          <a:off x="2219324" y="4162426"/>
          <a:ext cx="4371976" cy="4857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800" b="1"/>
            <a:t>Total</a:t>
          </a:r>
          <a:r>
            <a:rPr lang="en-US" sz="1800" b="1" baseline="0"/>
            <a:t> Time for Each 3D Option</a:t>
          </a:r>
          <a:endParaRPr lang="en-US" sz="1800" b="1"/>
        </a:p>
      </cdr:txBody>
    </cdr:sp>
  </cdr:relSizeAnchor>
  <cdr:relSizeAnchor xmlns:cdr="http://schemas.openxmlformats.org/drawingml/2006/chartDrawing">
    <cdr:from>
      <cdr:x>0.02718</cdr:x>
      <cdr:y>0.23092</cdr:y>
    </cdr:from>
    <cdr:to>
      <cdr:x>0.06795</cdr:x>
      <cdr:y>0.4237</cdr:y>
    </cdr:to>
    <cdr:sp macro="" textlink="">
      <cdr:nvSpPr>
        <cdr:cNvPr id="3" name="TextBox 2"/>
        <cdr:cNvSpPr txBox="1"/>
      </cdr:nvSpPr>
      <cdr:spPr>
        <a:xfrm xmlns:a="http://schemas.openxmlformats.org/drawingml/2006/main" rot="16200000">
          <a:off x="-57150" y="1381127"/>
          <a:ext cx="914400" cy="3429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b="1"/>
            <a:t>Time (days)</a:t>
          </a:r>
        </a:p>
      </cdr:txBody>
    </cdr:sp>
  </cdr:relSizeAnchor>
</c:userShapes>
</file>

<file path=xl/drawings/drawing5.xml><?xml version="1.0" encoding="utf-8"?>
<c:userShapes xmlns:c="http://schemas.openxmlformats.org/drawingml/2006/chart">
  <cdr:relSizeAnchor xmlns:cdr="http://schemas.openxmlformats.org/drawingml/2006/chartDrawing">
    <cdr:from>
      <cdr:x>0.06766</cdr:x>
      <cdr:y>0.23506</cdr:y>
    </cdr:from>
    <cdr:to>
      <cdr:x>0.10894</cdr:x>
      <cdr:y>0.42629</cdr:y>
    </cdr:to>
    <cdr:sp macro="" textlink="">
      <cdr:nvSpPr>
        <cdr:cNvPr id="2" name="TextBox 1"/>
        <cdr:cNvSpPr txBox="1"/>
      </cdr:nvSpPr>
      <cdr:spPr>
        <a:xfrm xmlns:a="http://schemas.openxmlformats.org/drawingml/2006/main" rot="16200000">
          <a:off x="276225" y="1409700"/>
          <a:ext cx="914400" cy="3429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b="1"/>
            <a:t>Cost ($)</a:t>
          </a:r>
        </a:p>
      </cdr:txBody>
    </cdr:sp>
  </cdr:relSizeAnchor>
</c:userShapes>
</file>

<file path=xl/drawings/drawing6.xml><?xml version="1.0" encoding="utf-8"?>
<c:userShapes xmlns:c="http://schemas.openxmlformats.org/drawingml/2006/chart">
  <cdr:relSizeAnchor xmlns:cdr="http://schemas.openxmlformats.org/drawingml/2006/chartDrawing">
    <cdr:from>
      <cdr:x>0.06766</cdr:x>
      <cdr:y>0.23506</cdr:y>
    </cdr:from>
    <cdr:to>
      <cdr:x>0.10894</cdr:x>
      <cdr:y>0.42629</cdr:y>
    </cdr:to>
    <cdr:sp macro="" textlink="">
      <cdr:nvSpPr>
        <cdr:cNvPr id="2" name="TextBox 1"/>
        <cdr:cNvSpPr txBox="1"/>
      </cdr:nvSpPr>
      <cdr:spPr>
        <a:xfrm xmlns:a="http://schemas.openxmlformats.org/drawingml/2006/main" rot="16200000">
          <a:off x="276225" y="1409700"/>
          <a:ext cx="914400" cy="3429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b="1"/>
            <a:t>Cost ($)</a:t>
          </a:r>
        </a:p>
      </cdr:txBody>
    </cdr:sp>
  </cdr:relSizeAnchor>
</c:userShapes>
</file>

<file path=xl/drawings/drawing7.xml><?xml version="1.0" encoding="utf-8"?>
<c:userShapes xmlns:c="http://schemas.openxmlformats.org/drawingml/2006/chart">
  <cdr:relSizeAnchor xmlns:cdr="http://schemas.openxmlformats.org/drawingml/2006/chartDrawing">
    <cdr:from>
      <cdr:x>0.26387</cdr:x>
      <cdr:y>0.87751</cdr:y>
    </cdr:from>
    <cdr:to>
      <cdr:x>0.78369</cdr:x>
      <cdr:y>0.97992</cdr:y>
    </cdr:to>
    <cdr:sp macro="" textlink="">
      <cdr:nvSpPr>
        <cdr:cNvPr id="2" name="TextBox 1"/>
        <cdr:cNvSpPr txBox="1"/>
      </cdr:nvSpPr>
      <cdr:spPr>
        <a:xfrm xmlns:a="http://schemas.openxmlformats.org/drawingml/2006/main">
          <a:off x="2219324" y="4162426"/>
          <a:ext cx="4371976" cy="4857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800" b="1" baseline="0"/>
            <a:t>Time for Each 3D Option in the Infected Zone</a:t>
          </a:r>
          <a:endParaRPr lang="en-US" sz="1800" b="1"/>
        </a:p>
      </cdr:txBody>
    </cdr:sp>
  </cdr:relSizeAnchor>
  <cdr:relSizeAnchor xmlns:cdr="http://schemas.openxmlformats.org/drawingml/2006/chartDrawing">
    <cdr:from>
      <cdr:x>0.02718</cdr:x>
      <cdr:y>0.23092</cdr:y>
    </cdr:from>
    <cdr:to>
      <cdr:x>0.06795</cdr:x>
      <cdr:y>0.4237</cdr:y>
    </cdr:to>
    <cdr:sp macro="" textlink="">
      <cdr:nvSpPr>
        <cdr:cNvPr id="3" name="TextBox 2"/>
        <cdr:cNvSpPr txBox="1"/>
      </cdr:nvSpPr>
      <cdr:spPr>
        <a:xfrm xmlns:a="http://schemas.openxmlformats.org/drawingml/2006/main" rot="16200000">
          <a:off x="-57150" y="1381127"/>
          <a:ext cx="914400" cy="3429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b="1"/>
            <a:t>Time (days)</a:t>
          </a:r>
        </a:p>
      </cdr:txBody>
    </cdr:sp>
  </cdr:relSizeAnchor>
</c:userShapes>
</file>

<file path=xl/drawings/drawing8.xml><?xml version="1.0" encoding="utf-8"?>
<c:userShapes xmlns:c="http://schemas.openxmlformats.org/drawingml/2006/chart">
  <cdr:relSizeAnchor xmlns:cdr="http://schemas.openxmlformats.org/drawingml/2006/chartDrawing">
    <cdr:from>
      <cdr:x>0.26387</cdr:x>
      <cdr:y>0.87751</cdr:y>
    </cdr:from>
    <cdr:to>
      <cdr:x>0.78369</cdr:x>
      <cdr:y>0.97992</cdr:y>
    </cdr:to>
    <cdr:sp macro="" textlink="">
      <cdr:nvSpPr>
        <cdr:cNvPr id="2" name="TextBox 1"/>
        <cdr:cNvSpPr txBox="1"/>
      </cdr:nvSpPr>
      <cdr:spPr>
        <a:xfrm xmlns:a="http://schemas.openxmlformats.org/drawingml/2006/main">
          <a:off x="2219324" y="4162426"/>
          <a:ext cx="4371976" cy="4857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800" b="1" baseline="0"/>
            <a:t>Time for Each 3D Option in the Infected Zone</a:t>
          </a:r>
          <a:endParaRPr lang="en-US" sz="1800" b="1"/>
        </a:p>
      </cdr:txBody>
    </cdr:sp>
  </cdr:relSizeAnchor>
  <cdr:relSizeAnchor xmlns:cdr="http://schemas.openxmlformats.org/drawingml/2006/chartDrawing">
    <cdr:from>
      <cdr:x>0.02718</cdr:x>
      <cdr:y>0.23092</cdr:y>
    </cdr:from>
    <cdr:to>
      <cdr:x>0.06795</cdr:x>
      <cdr:y>0.4237</cdr:y>
    </cdr:to>
    <cdr:sp macro="" textlink="">
      <cdr:nvSpPr>
        <cdr:cNvPr id="3" name="TextBox 2"/>
        <cdr:cNvSpPr txBox="1"/>
      </cdr:nvSpPr>
      <cdr:spPr>
        <a:xfrm xmlns:a="http://schemas.openxmlformats.org/drawingml/2006/main" rot="16200000">
          <a:off x="-57150" y="1381127"/>
          <a:ext cx="914400" cy="3429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b="1"/>
            <a:t>Time (days)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hyperlink" Target="http://www.enasco.com/product/Z46750N" TargetMode="External"/><Relationship Id="rId2" Type="http://schemas.openxmlformats.org/officeDocument/2006/relationships/hyperlink" Target="http://www.jefferspet.com/" TargetMode="External"/><Relationship Id="rId1" Type="http://schemas.openxmlformats.org/officeDocument/2006/relationships/hyperlink" Target="http://www.gemplers.com/product/42116/Dupont-Tychem-QC-Hooded-Coverall" TargetMode="External"/><Relationship Id="rId6" Type="http://schemas.openxmlformats.org/officeDocument/2006/relationships/comments" Target="../comments11.xml"/><Relationship Id="rId5" Type="http://schemas.openxmlformats.org/officeDocument/2006/relationships/vmlDrawing" Target="../drawings/vmlDrawing11.vml"/><Relationship Id="rId4"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workbookViewId="0">
      <selection activeCell="A3" sqref="A3"/>
    </sheetView>
  </sheetViews>
  <sheetFormatPr defaultRowHeight="14.5" x14ac:dyDescent="0.35"/>
  <sheetData>
    <row r="2" spans="1:1" ht="36.5" x14ac:dyDescent="1">
      <c r="A2" s="557" t="s">
        <v>927</v>
      </c>
    </row>
    <row r="3" spans="1:1" ht="25" x14ac:dyDescent="0.7">
      <c r="A3" s="437"/>
    </row>
    <row r="5" spans="1:1" ht="18.5" x14ac:dyDescent="0.45">
      <c r="A5" s="438" t="s">
        <v>1280</v>
      </c>
    </row>
    <row r="6" spans="1:1" ht="18.5" x14ac:dyDescent="0.45">
      <c r="A6" s="438" t="s">
        <v>932</v>
      </c>
    </row>
    <row r="7" spans="1:1" ht="18.5" x14ac:dyDescent="0.45">
      <c r="A7" s="438" t="s">
        <v>1279</v>
      </c>
    </row>
    <row r="8" spans="1:1" ht="18.5" x14ac:dyDescent="0.45">
      <c r="A8" s="438" t="s">
        <v>1232</v>
      </c>
    </row>
    <row r="9" spans="1:1" ht="18.5" x14ac:dyDescent="0.45">
      <c r="A9" s="438"/>
    </row>
    <row r="10" spans="1:1" ht="18.5" x14ac:dyDescent="0.45">
      <c r="A10" s="438" t="s">
        <v>928</v>
      </c>
    </row>
    <row r="11" spans="1:1" ht="18.5" x14ac:dyDescent="0.45">
      <c r="A11" s="438"/>
    </row>
    <row r="12" spans="1:1" ht="18.5" x14ac:dyDescent="0.45">
      <c r="A12" s="439" t="s">
        <v>140</v>
      </c>
    </row>
    <row r="13" spans="1:1" ht="18.5" x14ac:dyDescent="0.45">
      <c r="A13" s="439" t="s">
        <v>139</v>
      </c>
    </row>
    <row r="14" spans="1:1" ht="18.5" x14ac:dyDescent="0.45">
      <c r="A14" s="439" t="s">
        <v>138</v>
      </c>
    </row>
    <row r="15" spans="1:1" ht="18.5" x14ac:dyDescent="0.45">
      <c r="A15" s="439" t="s">
        <v>114</v>
      </c>
    </row>
    <row r="16" spans="1:1" ht="18.5" x14ac:dyDescent="0.45">
      <c r="A16" s="439" t="s">
        <v>930</v>
      </c>
    </row>
    <row r="17" spans="1:1" ht="18.5" x14ac:dyDescent="0.45">
      <c r="A17" s="439" t="s">
        <v>929</v>
      </c>
    </row>
    <row r="18" spans="1:1" ht="18.5" x14ac:dyDescent="0.45">
      <c r="A18" s="439" t="s">
        <v>1210</v>
      </c>
    </row>
    <row r="19" spans="1:1" ht="18.5" x14ac:dyDescent="0.45">
      <c r="A19" s="439" t="s">
        <v>1211</v>
      </c>
    </row>
    <row r="20" spans="1:1" ht="18.5" x14ac:dyDescent="0.45">
      <c r="A20" s="439" t="s">
        <v>144</v>
      </c>
    </row>
    <row r="21" spans="1:1" ht="18.5" x14ac:dyDescent="0.45">
      <c r="A21" s="439" t="s">
        <v>131</v>
      </c>
    </row>
    <row r="22" spans="1:1" ht="18.5" x14ac:dyDescent="0.45">
      <c r="A22" s="439" t="s">
        <v>640</v>
      </c>
    </row>
    <row r="23" spans="1:1" ht="18.5" x14ac:dyDescent="0.45">
      <c r="A23" s="438"/>
    </row>
    <row r="24" spans="1:1" ht="18.5" x14ac:dyDescent="0.45">
      <c r="A24" s="438" t="s">
        <v>1212</v>
      </c>
    </row>
    <row r="25" spans="1:1" ht="18.5" x14ac:dyDescent="0.45">
      <c r="A25" s="438" t="s">
        <v>1209</v>
      </c>
    </row>
    <row r="26" spans="1:1" ht="18.5" x14ac:dyDescent="0.45">
      <c r="A26" s="438" t="s">
        <v>1213</v>
      </c>
    </row>
    <row r="29" spans="1:1" x14ac:dyDescent="0.35">
      <c r="A29" t="s">
        <v>1226</v>
      </c>
    </row>
    <row r="30" spans="1:1" x14ac:dyDescent="0.35">
      <c r="A30" t="s">
        <v>1227</v>
      </c>
    </row>
    <row r="31" spans="1:1" x14ac:dyDescent="0.35">
      <c r="A31" t="s">
        <v>1228</v>
      </c>
    </row>
    <row r="32" spans="1:1" x14ac:dyDescent="0.35">
      <c r="A32" t="s">
        <v>1229</v>
      </c>
    </row>
    <row r="33" spans="1:1" x14ac:dyDescent="0.35">
      <c r="A33" t="s">
        <v>1230</v>
      </c>
    </row>
    <row r="34" spans="1:1" x14ac:dyDescent="0.35">
      <c r="A34" t="s">
        <v>1231</v>
      </c>
    </row>
    <row r="37" spans="1:1" x14ac:dyDescent="0.35">
      <c r="A37" t="s">
        <v>1214</v>
      </c>
    </row>
    <row r="38" spans="1:1" x14ac:dyDescent="0.35">
      <c r="A38" t="s">
        <v>1215</v>
      </c>
    </row>
    <row r="39" spans="1:1" x14ac:dyDescent="0.35">
      <c r="A39" t="s">
        <v>1216</v>
      </c>
    </row>
    <row r="40" spans="1:1" x14ac:dyDescent="0.35">
      <c r="A40" t="s">
        <v>1217</v>
      </c>
    </row>
    <row r="42" spans="1:1" x14ac:dyDescent="0.35">
      <c r="A42" t="s">
        <v>1218</v>
      </c>
    </row>
    <row r="43" spans="1:1" x14ac:dyDescent="0.35">
      <c r="A43" t="s">
        <v>1219</v>
      </c>
    </row>
    <row r="44" spans="1:1" x14ac:dyDescent="0.35">
      <c r="A44" t="s">
        <v>1220</v>
      </c>
    </row>
    <row r="45" spans="1:1" x14ac:dyDescent="0.35">
      <c r="A45" t="s">
        <v>1221</v>
      </c>
    </row>
    <row r="46" spans="1:1" x14ac:dyDescent="0.35">
      <c r="A46" t="s">
        <v>1222</v>
      </c>
    </row>
    <row r="47" spans="1:1" x14ac:dyDescent="0.35">
      <c r="A47" t="s">
        <v>1223</v>
      </c>
    </row>
    <row r="48" spans="1:1" x14ac:dyDescent="0.35">
      <c r="A48" t="s">
        <v>1224</v>
      </c>
    </row>
    <row r="49" spans="1:1" x14ac:dyDescent="0.35">
      <c r="A49" t="s">
        <v>1225</v>
      </c>
    </row>
  </sheetData>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84"/>
  <sheetViews>
    <sheetView topLeftCell="A58" zoomScale="80" zoomScaleNormal="80" workbookViewId="0">
      <selection activeCell="B74" sqref="B74"/>
    </sheetView>
  </sheetViews>
  <sheetFormatPr defaultRowHeight="14.5" x14ac:dyDescent="0.35"/>
  <cols>
    <col min="1" max="1" width="57.453125" customWidth="1"/>
    <col min="2" max="2" width="15.08984375" customWidth="1"/>
    <col min="3" max="3" width="19.36328125" bestFit="1" customWidth="1"/>
    <col min="4" max="4" width="11.453125" customWidth="1"/>
    <col min="5" max="5" width="23.08984375" bestFit="1" customWidth="1"/>
    <col min="6" max="6" width="13.90625" customWidth="1"/>
    <col min="7" max="7" width="18.90625" customWidth="1"/>
    <col min="8" max="9" width="9.08984375" customWidth="1"/>
    <col min="10" max="10" width="45.6328125" customWidth="1"/>
    <col min="11" max="11" width="14.36328125" customWidth="1"/>
    <col min="12" max="12" width="10.453125" customWidth="1"/>
    <col min="13" max="13" width="9.08984375" customWidth="1"/>
    <col min="14" max="14" width="48" customWidth="1"/>
    <col min="15" max="15" width="16.36328125" customWidth="1"/>
    <col min="16" max="16" width="9" customWidth="1"/>
    <col min="17" max="17" width="47.453125" customWidth="1"/>
    <col min="18" max="18" width="18.54296875" customWidth="1"/>
    <col min="19" max="19" width="25.6328125" customWidth="1"/>
    <col min="20" max="20" width="19.36328125" customWidth="1"/>
    <col min="21" max="21" width="18.6328125" customWidth="1"/>
    <col min="22" max="22" width="9.08984375" customWidth="1"/>
    <col min="23" max="23" width="39.08984375" customWidth="1"/>
    <col min="24" max="24" width="18.453125" customWidth="1"/>
    <col min="25" max="25" width="20.08984375" customWidth="1"/>
    <col min="26" max="26" width="15.08984375" customWidth="1"/>
    <col min="27" max="27" width="8.54296875" customWidth="1"/>
    <col min="28" max="28" width="11.90625" customWidth="1"/>
    <col min="29" max="29" width="39" customWidth="1"/>
    <col min="30" max="30" width="21.90625" customWidth="1"/>
    <col min="31" max="31" width="17.08984375" customWidth="1"/>
    <col min="32" max="32" width="19.08984375" customWidth="1"/>
    <col min="33" max="33" width="12.36328125" customWidth="1"/>
  </cols>
  <sheetData>
    <row r="1" spans="1:27" ht="21.5" thickBot="1" x14ac:dyDescent="0.55000000000000004">
      <c r="A1" s="70" t="s">
        <v>142</v>
      </c>
    </row>
    <row r="2" spans="1:27" ht="21" x14ac:dyDescent="0.5">
      <c r="A2" s="227"/>
    </row>
    <row r="3" spans="1:27" x14ac:dyDescent="0.35">
      <c r="A3" t="s">
        <v>986</v>
      </c>
    </row>
    <row r="4" spans="1:27" x14ac:dyDescent="0.35">
      <c r="A4" t="s">
        <v>1278</v>
      </c>
    </row>
    <row r="5" spans="1:27" ht="15" thickBot="1" x14ac:dyDescent="0.4"/>
    <row r="6" spans="1:27" x14ac:dyDescent="0.35">
      <c r="A6" s="277" t="s">
        <v>3</v>
      </c>
      <c r="B6" s="278" t="s">
        <v>28</v>
      </c>
      <c r="C6" s="278" t="s">
        <v>150</v>
      </c>
      <c r="D6" s="278" t="s">
        <v>65</v>
      </c>
      <c r="E6" s="278" t="s">
        <v>150</v>
      </c>
      <c r="F6" s="279" t="s">
        <v>30</v>
      </c>
      <c r="G6" s="280" t="s">
        <v>150</v>
      </c>
      <c r="H6" s="8"/>
    </row>
    <row r="7" spans="1:27" x14ac:dyDescent="0.35">
      <c r="A7" s="281"/>
      <c r="B7" s="1"/>
      <c r="C7" s="11"/>
      <c r="D7" s="65"/>
      <c r="E7" s="15"/>
      <c r="F7" s="28"/>
      <c r="G7" s="283"/>
      <c r="H7" s="8"/>
      <c r="I7" s="232"/>
      <c r="J7" t="s">
        <v>34</v>
      </c>
    </row>
    <row r="8" spans="1:27" x14ac:dyDescent="0.35">
      <c r="A8" s="298" t="s">
        <v>94</v>
      </c>
      <c r="B8" s="221">
        <v>11.87</v>
      </c>
      <c r="C8" s="11" t="s">
        <v>155</v>
      </c>
      <c r="D8" s="230">
        <v>5</v>
      </c>
      <c r="E8" s="65" t="s">
        <v>116</v>
      </c>
      <c r="F8" s="27">
        <f t="shared" ref="F8:F13" si="0">D8*B8*$D$14</f>
        <v>712.19999999999993</v>
      </c>
      <c r="G8" s="283" t="s">
        <v>149</v>
      </c>
      <c r="H8" s="8"/>
      <c r="L8" s="58"/>
      <c r="N8" s="59"/>
      <c r="O8" s="6"/>
    </row>
    <row r="9" spans="1:27" x14ac:dyDescent="0.35">
      <c r="A9" s="298" t="s">
        <v>6</v>
      </c>
      <c r="B9" s="221">
        <v>17.510000000000002</v>
      </c>
      <c r="C9" s="11" t="s">
        <v>155</v>
      </c>
      <c r="D9" s="230">
        <v>1</v>
      </c>
      <c r="E9" s="65" t="s">
        <v>116</v>
      </c>
      <c r="F9" s="27">
        <f t="shared" si="0"/>
        <v>210.12</v>
      </c>
      <c r="G9" s="283" t="s">
        <v>149</v>
      </c>
      <c r="H9" s="8"/>
      <c r="I9" s="25"/>
      <c r="J9" t="s">
        <v>727</v>
      </c>
      <c r="L9" s="58"/>
      <c r="N9" s="59"/>
      <c r="O9" s="6"/>
    </row>
    <row r="10" spans="1:27" x14ac:dyDescent="0.35">
      <c r="A10" s="299" t="s">
        <v>93</v>
      </c>
      <c r="B10" s="221">
        <v>21.62</v>
      </c>
      <c r="C10" s="11" t="s">
        <v>155</v>
      </c>
      <c r="D10" s="230">
        <v>1</v>
      </c>
      <c r="E10" s="65" t="s">
        <v>116</v>
      </c>
      <c r="F10" s="27">
        <f t="shared" si="0"/>
        <v>259.44</v>
      </c>
      <c r="G10" s="283" t="s">
        <v>149</v>
      </c>
      <c r="H10" s="8"/>
      <c r="L10" s="58"/>
      <c r="N10" s="59"/>
      <c r="O10" s="6"/>
    </row>
    <row r="11" spans="1:27" x14ac:dyDescent="0.35">
      <c r="A11" s="299" t="s">
        <v>154</v>
      </c>
      <c r="B11" s="221">
        <v>19.829999999999998</v>
      </c>
      <c r="C11" s="11" t="s">
        <v>155</v>
      </c>
      <c r="D11" s="230">
        <v>0</v>
      </c>
      <c r="E11" s="65" t="s">
        <v>116</v>
      </c>
      <c r="F11" s="27">
        <f t="shared" si="0"/>
        <v>0</v>
      </c>
      <c r="G11" s="283" t="s">
        <v>149</v>
      </c>
      <c r="H11" s="8"/>
      <c r="I11" s="195"/>
      <c r="J11" t="s">
        <v>66</v>
      </c>
      <c r="L11" s="58"/>
      <c r="N11" s="59"/>
      <c r="O11" s="6"/>
    </row>
    <row r="12" spans="1:27" ht="15" thickBot="1" x14ac:dyDescent="0.4">
      <c r="A12" s="299" t="s">
        <v>153</v>
      </c>
      <c r="B12" s="221">
        <v>19.88</v>
      </c>
      <c r="C12" s="11" t="s">
        <v>155</v>
      </c>
      <c r="D12" s="230">
        <v>2</v>
      </c>
      <c r="E12" s="65" t="s">
        <v>116</v>
      </c>
      <c r="F12" s="27">
        <f t="shared" si="0"/>
        <v>477.12</v>
      </c>
      <c r="G12" s="283" t="s">
        <v>149</v>
      </c>
      <c r="H12" s="8"/>
      <c r="L12" s="58"/>
      <c r="N12" s="59"/>
      <c r="O12" s="6"/>
    </row>
    <row r="13" spans="1:27" x14ac:dyDescent="0.35">
      <c r="A13" s="299" t="s">
        <v>95</v>
      </c>
      <c r="B13" s="221">
        <v>19.760000000000002</v>
      </c>
      <c r="C13" s="11" t="s">
        <v>155</v>
      </c>
      <c r="D13" s="230">
        <v>2</v>
      </c>
      <c r="E13" s="65" t="s">
        <v>116</v>
      </c>
      <c r="F13" s="27">
        <f t="shared" si="0"/>
        <v>474.24</v>
      </c>
      <c r="G13" s="283" t="s">
        <v>149</v>
      </c>
      <c r="H13" s="8"/>
      <c r="I13" s="137"/>
      <c r="J13" s="131"/>
      <c r="K13" s="131"/>
      <c r="L13" s="131"/>
      <c r="M13" s="131"/>
      <c r="N13" s="131"/>
      <c r="O13" s="131"/>
      <c r="P13" s="131"/>
      <c r="Q13" s="131"/>
      <c r="R13" s="131"/>
      <c r="S13" s="131"/>
      <c r="T13" s="131"/>
      <c r="U13" s="131"/>
      <c r="V13" s="131"/>
      <c r="W13" s="131"/>
      <c r="X13" s="131"/>
      <c r="Y13" s="131"/>
      <c r="Z13" s="131"/>
      <c r="AA13" s="132"/>
    </row>
    <row r="14" spans="1:27" ht="29" x14ac:dyDescent="0.35">
      <c r="A14" s="301" t="s">
        <v>132</v>
      </c>
      <c r="B14" s="5"/>
      <c r="C14" s="11"/>
      <c r="D14" s="230">
        <v>12</v>
      </c>
      <c r="E14" s="65" t="s">
        <v>118</v>
      </c>
      <c r="F14" s="111">
        <f>D14</f>
        <v>12</v>
      </c>
      <c r="G14" s="302" t="s">
        <v>118</v>
      </c>
      <c r="H14" s="8"/>
      <c r="I14" s="124" t="s">
        <v>987</v>
      </c>
      <c r="J14" s="8"/>
      <c r="K14" s="8"/>
      <c r="L14" s="8"/>
      <c r="M14" s="8"/>
      <c r="N14" s="8"/>
      <c r="O14" s="8"/>
      <c r="P14" s="8"/>
      <c r="Q14" s="8"/>
      <c r="R14" s="8"/>
      <c r="S14" s="8"/>
      <c r="T14" s="8"/>
      <c r="U14" s="8"/>
      <c r="V14" s="8"/>
      <c r="W14" s="8"/>
      <c r="X14" s="8"/>
      <c r="Y14" s="8"/>
      <c r="Z14" s="8"/>
      <c r="AA14" s="126"/>
    </row>
    <row r="15" spans="1:27" x14ac:dyDescent="0.35">
      <c r="A15" s="301" t="s">
        <v>162</v>
      </c>
      <c r="B15" s="221">
        <v>123</v>
      </c>
      <c r="C15" s="11" t="s">
        <v>157</v>
      </c>
      <c r="D15" s="230">
        <f>SUM(D8:D13)</f>
        <v>11</v>
      </c>
      <c r="E15" s="65" t="s">
        <v>116</v>
      </c>
      <c r="F15" s="115">
        <f>D15*B15</f>
        <v>1353</v>
      </c>
      <c r="G15" s="303" t="s">
        <v>149</v>
      </c>
      <c r="H15" s="8"/>
      <c r="I15" s="124"/>
      <c r="J15" s="8"/>
      <c r="K15" s="8"/>
      <c r="L15" s="8"/>
      <c r="M15" s="8"/>
      <c r="N15" s="8"/>
      <c r="O15" s="8"/>
      <c r="P15" s="8"/>
      <c r="Q15" s="8"/>
      <c r="R15" s="8"/>
      <c r="S15" s="8"/>
      <c r="T15" s="8"/>
      <c r="U15" s="8"/>
      <c r="V15" s="8"/>
      <c r="W15" s="8"/>
      <c r="X15" s="8"/>
      <c r="Y15" s="8"/>
      <c r="Z15" s="8"/>
      <c r="AA15" s="126"/>
    </row>
    <row r="16" spans="1:27" ht="15.5" x14ac:dyDescent="0.35">
      <c r="A16" s="281"/>
      <c r="B16" s="5"/>
      <c r="C16" s="11"/>
      <c r="D16" s="61"/>
      <c r="E16" s="15"/>
      <c r="F16" s="28"/>
      <c r="G16" s="283"/>
      <c r="H16" s="8"/>
      <c r="I16" s="233">
        <v>5</v>
      </c>
      <c r="J16" s="226" t="s">
        <v>988</v>
      </c>
      <c r="K16" s="8"/>
      <c r="L16" s="8"/>
      <c r="M16" s="8"/>
      <c r="N16" s="8"/>
      <c r="O16" s="8"/>
      <c r="P16" s="8"/>
      <c r="Q16" s="8"/>
      <c r="R16" s="8"/>
      <c r="S16" s="8"/>
      <c r="T16" s="8"/>
      <c r="U16" s="8"/>
      <c r="V16" s="8"/>
      <c r="W16" s="8"/>
      <c r="X16" s="8"/>
      <c r="Y16" s="8"/>
      <c r="Z16" s="8"/>
      <c r="AA16" s="126"/>
    </row>
    <row r="17" spans="1:27" ht="16" thickBot="1" x14ac:dyDescent="0.4">
      <c r="A17" s="304" t="s">
        <v>8</v>
      </c>
      <c r="B17" s="305"/>
      <c r="C17" s="306"/>
      <c r="D17" s="286"/>
      <c r="E17" s="307"/>
      <c r="F17" s="318">
        <f>SUM(F8:F13)+F15</f>
        <v>3486.12</v>
      </c>
      <c r="G17" s="290" t="s">
        <v>149</v>
      </c>
      <c r="H17" s="8"/>
      <c r="I17" s="233">
        <v>2</v>
      </c>
      <c r="J17" s="226" t="s">
        <v>1200</v>
      </c>
      <c r="K17" s="8"/>
      <c r="L17" s="8"/>
      <c r="M17" s="8"/>
      <c r="N17" s="8"/>
      <c r="O17" s="8"/>
      <c r="P17" s="8"/>
      <c r="Q17" s="8"/>
      <c r="R17" s="8"/>
      <c r="S17" s="8"/>
      <c r="T17" s="8"/>
      <c r="U17" s="8"/>
      <c r="V17" s="8"/>
      <c r="W17" s="8"/>
      <c r="X17" s="8"/>
      <c r="Y17" s="8"/>
      <c r="Z17" s="8"/>
      <c r="AA17" s="126"/>
    </row>
    <row r="18" spans="1:27" ht="16" thickBot="1" x14ac:dyDescent="0.4">
      <c r="A18" s="291"/>
      <c r="B18" s="292"/>
      <c r="C18" s="293"/>
      <c r="D18" s="294"/>
      <c r="E18" s="295"/>
      <c r="F18" s="296"/>
      <c r="G18" s="297"/>
      <c r="H18" s="8"/>
      <c r="I18" s="245"/>
      <c r="J18" s="226"/>
      <c r="K18" s="8"/>
      <c r="L18" s="8"/>
      <c r="M18" s="8"/>
      <c r="N18" s="8"/>
      <c r="O18" s="8"/>
      <c r="P18" s="8"/>
      <c r="Q18" s="8"/>
      <c r="R18" s="8"/>
      <c r="S18" s="8"/>
      <c r="T18" s="8"/>
      <c r="U18" s="8"/>
      <c r="V18" s="8"/>
      <c r="W18" s="8"/>
      <c r="X18" s="8"/>
      <c r="Y18" s="8"/>
      <c r="Z18" s="8"/>
      <c r="AA18" s="126"/>
    </row>
    <row r="19" spans="1:27" x14ac:dyDescent="0.35">
      <c r="A19" s="277" t="s">
        <v>601</v>
      </c>
      <c r="B19" s="278" t="s">
        <v>28</v>
      </c>
      <c r="C19" s="278" t="s">
        <v>150</v>
      </c>
      <c r="D19" s="278" t="s">
        <v>65</v>
      </c>
      <c r="E19" s="278" t="s">
        <v>150</v>
      </c>
      <c r="F19" s="279" t="s">
        <v>30</v>
      </c>
      <c r="G19" s="280" t="s">
        <v>150</v>
      </c>
      <c r="H19" s="215"/>
      <c r="I19" s="124" t="s">
        <v>989</v>
      </c>
      <c r="J19" s="8"/>
      <c r="K19" s="8"/>
      <c r="L19" s="8"/>
      <c r="M19" s="8"/>
      <c r="N19" s="8"/>
      <c r="O19" s="8"/>
      <c r="P19" s="8"/>
      <c r="Q19" s="8"/>
      <c r="R19" s="8"/>
      <c r="S19" s="8"/>
      <c r="T19" s="8"/>
      <c r="U19" s="8"/>
      <c r="V19" s="8"/>
      <c r="W19" s="8"/>
      <c r="X19" s="8"/>
      <c r="Y19" s="8"/>
      <c r="Z19" s="8"/>
      <c r="AA19" s="126"/>
    </row>
    <row r="20" spans="1:27" x14ac:dyDescent="0.35">
      <c r="A20" s="281"/>
      <c r="B20" s="282"/>
      <c r="C20" s="60"/>
      <c r="D20" s="61"/>
      <c r="E20" s="72"/>
      <c r="F20" s="75"/>
      <c r="G20" s="283"/>
      <c r="H20" s="8"/>
      <c r="I20" s="124" t="s">
        <v>415</v>
      </c>
      <c r="J20" s="8"/>
      <c r="K20" s="8"/>
      <c r="L20" s="8"/>
      <c r="M20" s="8"/>
      <c r="N20" s="8"/>
      <c r="O20" s="8"/>
      <c r="P20" s="8"/>
      <c r="Q20" s="8"/>
      <c r="R20" s="8"/>
      <c r="S20" s="8"/>
      <c r="T20" s="8"/>
      <c r="U20" s="8"/>
      <c r="V20" s="8"/>
      <c r="W20" s="8"/>
      <c r="X20" s="8"/>
      <c r="Y20" s="8"/>
      <c r="Z20" s="8"/>
      <c r="AA20" s="126"/>
    </row>
    <row r="21" spans="1:27" x14ac:dyDescent="0.35">
      <c r="A21" s="341" t="s">
        <v>11</v>
      </c>
      <c r="B21" s="231">
        <v>10.25</v>
      </c>
      <c r="C21" s="263" t="s">
        <v>120</v>
      </c>
      <c r="D21" s="230">
        <f>SUM(D8:D13)</f>
        <v>11</v>
      </c>
      <c r="E21" s="60" t="s">
        <v>156</v>
      </c>
      <c r="F21" s="115">
        <f>D21*B21</f>
        <v>112.75</v>
      </c>
      <c r="G21" s="303" t="s">
        <v>149</v>
      </c>
      <c r="H21" s="8"/>
      <c r="I21" s="124"/>
      <c r="J21" s="8"/>
      <c r="K21" s="8"/>
      <c r="L21" s="8"/>
      <c r="M21" s="8"/>
      <c r="N21" s="8"/>
      <c r="O21" s="8"/>
      <c r="P21" s="8"/>
      <c r="Q21" s="8"/>
      <c r="R21" s="8"/>
      <c r="S21" s="8"/>
      <c r="T21" s="8"/>
      <c r="U21" s="8"/>
      <c r="V21" s="8"/>
      <c r="W21" s="8"/>
      <c r="X21" s="8"/>
      <c r="Y21" s="8"/>
      <c r="Z21" s="8"/>
      <c r="AA21" s="126"/>
    </row>
    <row r="22" spans="1:27" ht="15" thickBot="1" x14ac:dyDescent="0.4">
      <c r="A22" s="425" t="s">
        <v>821</v>
      </c>
      <c r="B22" s="259">
        <v>8.3000000000000007</v>
      </c>
      <c r="C22" s="258" t="s">
        <v>822</v>
      </c>
      <c r="D22" s="515">
        <v>275</v>
      </c>
      <c r="E22" s="257" t="s">
        <v>1199</v>
      </c>
      <c r="F22" s="264">
        <f>D22*B22/50</f>
        <v>45.65</v>
      </c>
      <c r="G22" s="424" t="s">
        <v>1198</v>
      </c>
      <c r="I22" s="124"/>
      <c r="J22" s="8"/>
      <c r="K22" s="8"/>
      <c r="L22" s="8"/>
      <c r="M22" s="8"/>
      <c r="N22" s="8"/>
      <c r="O22" s="8"/>
      <c r="P22" s="8"/>
      <c r="Q22" s="8"/>
      <c r="R22" s="44" t="s">
        <v>475</v>
      </c>
      <c r="S22" s="44" t="s">
        <v>474</v>
      </c>
      <c r="T22" s="44" t="s">
        <v>468</v>
      </c>
      <c r="U22" s="44" t="s">
        <v>30</v>
      </c>
      <c r="V22" s="8"/>
      <c r="W22" s="44" t="s">
        <v>472</v>
      </c>
      <c r="X22" s="44" t="s">
        <v>473</v>
      </c>
      <c r="Y22" s="44" t="s">
        <v>480</v>
      </c>
      <c r="Z22" s="44" t="s">
        <v>75</v>
      </c>
      <c r="AA22" s="126"/>
    </row>
    <row r="23" spans="1:27" x14ac:dyDescent="0.35">
      <c r="A23" s="299" t="s">
        <v>1064</v>
      </c>
      <c r="B23" s="265">
        <v>340</v>
      </c>
      <c r="C23" s="258" t="s">
        <v>1198</v>
      </c>
      <c r="D23" s="262"/>
      <c r="E23" s="56"/>
      <c r="F23" s="27">
        <f>B23</f>
        <v>340</v>
      </c>
      <c r="G23" s="424" t="s">
        <v>1198</v>
      </c>
      <c r="I23" s="124"/>
      <c r="J23" s="176" t="s">
        <v>990</v>
      </c>
      <c r="K23" s="196">
        <f>(R49/($I$16*$I$17))</f>
        <v>263.51351351351349</v>
      </c>
      <c r="L23" s="123" t="s">
        <v>432</v>
      </c>
      <c r="M23" s="8"/>
      <c r="N23" s="176" t="s">
        <v>1002</v>
      </c>
      <c r="O23" s="199">
        <f>$F$17*K23*$I$16</f>
        <v>4593198.6486486476</v>
      </c>
      <c r="P23" s="8"/>
      <c r="Q23" s="2" t="s">
        <v>1014</v>
      </c>
      <c r="R23" s="202">
        <f>($I$16*$F$21*K23)</f>
        <v>148555.74324324323</v>
      </c>
      <c r="S23" s="204">
        <f>(($F$39*$I$16*(K23/$K$38))+(K23*$F$40*$I$16)+($F$27*R49))</f>
        <v>5655073.2046332033</v>
      </c>
      <c r="T23" s="204">
        <f>($F$49*$I$16*(K23/$K$38))+($F$50*K23*$I$16)</f>
        <v>2807276.0617760611</v>
      </c>
      <c r="U23" s="205">
        <f>SUM(R23:T23)</f>
        <v>8610905.0096525084</v>
      </c>
      <c r="V23" s="8"/>
      <c r="W23" s="2" t="s">
        <v>1026</v>
      </c>
      <c r="X23" s="205">
        <f>O23</f>
        <v>4593198.6486486476</v>
      </c>
      <c r="Y23" s="205">
        <f>U23</f>
        <v>8610905.0096525084</v>
      </c>
      <c r="Z23" s="205">
        <f>X23+Y23</f>
        <v>13204103.658301156</v>
      </c>
      <c r="AA23" s="126"/>
    </row>
    <row r="24" spans="1:27" x14ac:dyDescent="0.35">
      <c r="A24" s="425" t="s">
        <v>1065</v>
      </c>
      <c r="B24" s="260"/>
      <c r="C24" s="51"/>
      <c r="D24" s="262"/>
      <c r="E24" s="56"/>
      <c r="F24" s="27"/>
      <c r="G24" s="125"/>
      <c r="I24" s="124"/>
      <c r="J24" s="177" t="s">
        <v>991</v>
      </c>
      <c r="K24" s="197">
        <f>(R50/($I$16*$I$17))</f>
        <v>0</v>
      </c>
      <c r="L24" s="125" t="s">
        <v>432</v>
      </c>
      <c r="M24" s="8"/>
      <c r="N24" s="177" t="s">
        <v>1003</v>
      </c>
      <c r="O24" s="200">
        <f>$F$17*K24*$I$16</f>
        <v>0</v>
      </c>
      <c r="P24" s="8"/>
      <c r="Q24" s="2" t="s">
        <v>1015</v>
      </c>
      <c r="R24" s="202">
        <f>($I$16*$F$21*K24)</f>
        <v>0</v>
      </c>
      <c r="S24" s="204">
        <f>(($F$39*$I$16*(K24/$K$38))+(K24*$F$40*$I$16)+($F$27*R50))</f>
        <v>0</v>
      </c>
      <c r="T24" s="204">
        <f>($F$49*$I$16*(K24/$K$38))+($F$50*K24*$I$16)</f>
        <v>0</v>
      </c>
      <c r="U24" s="205">
        <f>SUM(R24:T24)</f>
        <v>0</v>
      </c>
      <c r="V24" s="8"/>
      <c r="W24" s="2" t="s">
        <v>1027</v>
      </c>
      <c r="X24" s="205">
        <f>O24</f>
        <v>0</v>
      </c>
      <c r="Y24" s="205">
        <f>U24</f>
        <v>0</v>
      </c>
      <c r="Z24" s="205">
        <f>X24+Y24</f>
        <v>0</v>
      </c>
      <c r="AA24" s="126"/>
    </row>
    <row r="25" spans="1:27" ht="15" thickBot="1" x14ac:dyDescent="0.4">
      <c r="A25" s="284" t="s">
        <v>1207</v>
      </c>
      <c r="B25" s="285"/>
      <c r="C25" s="286"/>
      <c r="D25" s="287"/>
      <c r="E25" s="288"/>
      <c r="F25" s="318">
        <f>B25*D25</f>
        <v>0</v>
      </c>
      <c r="G25" s="290"/>
      <c r="I25" s="124"/>
      <c r="J25" s="177" t="s">
        <v>992</v>
      </c>
      <c r="K25" s="197">
        <f>(R51/($I$16*$I$17))</f>
        <v>0</v>
      </c>
      <c r="L25" s="125" t="s">
        <v>432</v>
      </c>
      <c r="M25" s="8"/>
      <c r="N25" s="177" t="s">
        <v>1004</v>
      </c>
      <c r="O25" s="200">
        <f>$F$17*K25*$I$16</f>
        <v>0</v>
      </c>
      <c r="P25" s="8"/>
      <c r="Q25" s="2" t="s">
        <v>1016</v>
      </c>
      <c r="R25" s="202">
        <f>($I$16*$F$21*K25)</f>
        <v>0</v>
      </c>
      <c r="S25" s="204">
        <f>(($F$39*$I$16*(K25/$K$38))+(K25*$F$40*$I$16)+($F$27*R51))</f>
        <v>0</v>
      </c>
      <c r="T25" s="204">
        <f>($F$49*$I$16*(K25/$K$38))+($F$50*K25*$I$16)</f>
        <v>0</v>
      </c>
      <c r="U25" s="205">
        <f>SUM(R25:T25)</f>
        <v>0</v>
      </c>
      <c r="V25" s="8"/>
      <c r="W25" s="2" t="s">
        <v>1028</v>
      </c>
      <c r="X25" s="205">
        <f>O25</f>
        <v>0</v>
      </c>
      <c r="Y25" s="205">
        <f>U25</f>
        <v>0</v>
      </c>
      <c r="Z25" s="205">
        <f>X25+Y25</f>
        <v>0</v>
      </c>
      <c r="AA25" s="126"/>
    </row>
    <row r="26" spans="1:27" x14ac:dyDescent="0.35">
      <c r="A26" s="426"/>
      <c r="B26" s="53"/>
      <c r="C26" s="51"/>
      <c r="D26" s="52"/>
      <c r="E26" s="56"/>
      <c r="F26" s="11"/>
      <c r="G26" s="125"/>
      <c r="I26" s="124"/>
      <c r="J26" s="177" t="s">
        <v>993</v>
      </c>
      <c r="K26" s="197">
        <f>(R52/($I$16*$I$17))</f>
        <v>0</v>
      </c>
      <c r="L26" s="125" t="s">
        <v>432</v>
      </c>
      <c r="M26" s="8"/>
      <c r="N26" s="177" t="s">
        <v>1005</v>
      </c>
      <c r="O26" s="514">
        <f>$F$17*K26*$I$16</f>
        <v>0</v>
      </c>
      <c r="P26" s="8"/>
      <c r="Q26" s="2" t="s">
        <v>1017</v>
      </c>
      <c r="R26" s="202">
        <f>($I$16*$F$21*K26)</f>
        <v>0</v>
      </c>
      <c r="S26" s="204">
        <f>(($F$39*$I$16*(K26/$K$38))+(K26*$F$40*$I$16)+($F$27*R52))</f>
        <v>0</v>
      </c>
      <c r="T26" s="204">
        <f>($F$49*$I$16*(K26/$K$38))+($F$50*K26*$I$16)</f>
        <v>0</v>
      </c>
      <c r="U26" s="205">
        <f>SUM(R26:T26)</f>
        <v>0</v>
      </c>
      <c r="V26" s="8"/>
      <c r="W26" s="2" t="s">
        <v>1029</v>
      </c>
      <c r="X26" s="205">
        <f>O26</f>
        <v>0</v>
      </c>
      <c r="Y26" s="205">
        <f>U26</f>
        <v>0</v>
      </c>
      <c r="Z26" s="205">
        <f>X26+Y26</f>
        <v>0</v>
      </c>
      <c r="AA26" s="126"/>
    </row>
    <row r="27" spans="1:27" ht="15" thickBot="1" x14ac:dyDescent="0.4">
      <c r="A27" s="304" t="s">
        <v>1066</v>
      </c>
      <c r="B27" s="415"/>
      <c r="C27" s="415"/>
      <c r="D27" s="415"/>
      <c r="E27" s="415"/>
      <c r="F27" s="325">
        <f>SUM(F22:F23)</f>
        <v>385.65</v>
      </c>
      <c r="G27" s="427" t="s">
        <v>1198</v>
      </c>
      <c r="I27" s="124"/>
      <c r="J27" s="124"/>
      <c r="K27" s="193"/>
      <c r="L27" s="126"/>
      <c r="M27" s="8"/>
      <c r="N27" s="124"/>
      <c r="O27" s="181"/>
      <c r="P27" s="8"/>
      <c r="Q27" s="8"/>
      <c r="R27" s="188"/>
      <c r="S27" s="189"/>
      <c r="T27" s="8"/>
      <c r="U27" s="8"/>
      <c r="V27" s="8"/>
      <c r="W27" s="9"/>
      <c r="X27" s="183"/>
      <c r="Y27" s="9"/>
      <c r="Z27" s="8"/>
      <c r="AA27" s="126"/>
    </row>
    <row r="28" spans="1:27" ht="15" thickBot="1" x14ac:dyDescent="0.4">
      <c r="A28" s="421"/>
      <c r="B28" s="422"/>
      <c r="C28" s="422"/>
      <c r="D28" s="422"/>
      <c r="E28" s="422"/>
      <c r="F28" s="293"/>
      <c r="G28" s="319"/>
      <c r="I28" s="124"/>
      <c r="J28" s="177" t="s">
        <v>994</v>
      </c>
      <c r="K28" s="197">
        <f>(R54/($I$16*$I$17))</f>
        <v>351.35135135135135</v>
      </c>
      <c r="L28" s="125" t="s">
        <v>432</v>
      </c>
      <c r="M28" s="8"/>
      <c r="N28" s="177" t="s">
        <v>1006</v>
      </c>
      <c r="O28" s="200">
        <f>$F$17*K28*$I$16</f>
        <v>6124264.8648648653</v>
      </c>
      <c r="P28" s="8"/>
      <c r="Q28" s="2" t="s">
        <v>1018</v>
      </c>
      <c r="R28" s="204">
        <f>($I$16*$F$21*K28)</f>
        <v>198074.32432432432</v>
      </c>
      <c r="S28" s="204">
        <f>(($F$39*$I$16*(K28/$K$38))+(K28*$F$40*$I$16)+($F$27*R54))</f>
        <v>7540097.6061776057</v>
      </c>
      <c r="T28" s="204">
        <f>($F$49*$I$16*(K28/$K$38))+($F$50*K28*$I$16)</f>
        <v>3743034.7490347489</v>
      </c>
      <c r="U28" s="205">
        <f>SUM(R28:T28)</f>
        <v>11481206.67953668</v>
      </c>
      <c r="V28" s="8"/>
      <c r="W28" s="2" t="s">
        <v>1030</v>
      </c>
      <c r="X28" s="205">
        <f>O28</f>
        <v>6124264.8648648653</v>
      </c>
      <c r="Y28" s="205">
        <f>U28</f>
        <v>11481206.67953668</v>
      </c>
      <c r="Z28" s="205">
        <f t="shared" ref="Z28:Z36" si="1">X28+Y28</f>
        <v>17605471.544401545</v>
      </c>
      <c r="AA28" s="126"/>
    </row>
    <row r="29" spans="1:27" x14ac:dyDescent="0.35">
      <c r="A29" s="277" t="s">
        <v>20</v>
      </c>
      <c r="B29" s="278" t="s">
        <v>28</v>
      </c>
      <c r="C29" s="278" t="s">
        <v>150</v>
      </c>
      <c r="D29" s="278" t="s">
        <v>65</v>
      </c>
      <c r="E29" s="278" t="s">
        <v>150</v>
      </c>
      <c r="F29" s="279" t="s">
        <v>30</v>
      </c>
      <c r="G29" s="280" t="s">
        <v>150</v>
      </c>
      <c r="I29" s="124"/>
      <c r="J29" s="177" t="s">
        <v>995</v>
      </c>
      <c r="K29" s="197">
        <f>(R55/($I$16*$I$17))</f>
        <v>0</v>
      </c>
      <c r="L29" s="125" t="s">
        <v>432</v>
      </c>
      <c r="M29" s="8"/>
      <c r="N29" s="177" t="s">
        <v>1007</v>
      </c>
      <c r="O29" s="200">
        <f>$F$17*K29*$I$16</f>
        <v>0</v>
      </c>
      <c r="P29" s="8"/>
      <c r="Q29" s="2" t="s">
        <v>1019</v>
      </c>
      <c r="R29" s="202">
        <f>($I$16*$F$21*K29)</f>
        <v>0</v>
      </c>
      <c r="S29" s="204">
        <f>(($F$39*$I$16*(K29/$K$38))+(K29*$F$40*$I$16)+($F$27*R55))</f>
        <v>0</v>
      </c>
      <c r="T29" s="204">
        <f>($F$49*$I$16*(K29/$K$38))+($F$50*K29*$I$16)</f>
        <v>0</v>
      </c>
      <c r="U29" s="205">
        <f>SUM(R29:T29)</f>
        <v>0</v>
      </c>
      <c r="V29" s="8"/>
      <c r="W29" s="2" t="s">
        <v>1031</v>
      </c>
      <c r="X29" s="205">
        <f>O29</f>
        <v>0</v>
      </c>
      <c r="Y29" s="205">
        <f>U29</f>
        <v>0</v>
      </c>
      <c r="Z29" s="205">
        <f t="shared" si="1"/>
        <v>0</v>
      </c>
      <c r="AA29" s="126"/>
    </row>
    <row r="30" spans="1:27" x14ac:dyDescent="0.35">
      <c r="A30" s="300"/>
      <c r="B30" s="51"/>
      <c r="C30" s="51"/>
      <c r="D30" s="51"/>
      <c r="E30" s="51"/>
      <c r="F30" s="2"/>
      <c r="G30" s="125"/>
      <c r="I30" s="124"/>
      <c r="J30" s="177" t="s">
        <v>996</v>
      </c>
      <c r="K30" s="197">
        <f>(R56/($I$16*$I$17))</f>
        <v>0</v>
      </c>
      <c r="L30" s="125" t="s">
        <v>432</v>
      </c>
      <c r="M30" s="8"/>
      <c r="N30" s="177" t="s">
        <v>1008</v>
      </c>
      <c r="O30" s="200">
        <f>$F$17*K30*$I$16</f>
        <v>0</v>
      </c>
      <c r="P30" s="8"/>
      <c r="Q30" s="2" t="s">
        <v>1020</v>
      </c>
      <c r="R30" s="202">
        <f>($I$16*$F$21*K30)</f>
        <v>0</v>
      </c>
      <c r="S30" s="204">
        <f>(($F$39*$I$16*(K30/$K$38))+(K30*$F$40*$I$16)+($F$27*R56))</f>
        <v>0</v>
      </c>
      <c r="T30" s="204">
        <f>($F$49*$I$16*(K30/$K$38))+($F$50*K30*$I$16)</f>
        <v>0</v>
      </c>
      <c r="U30" s="205">
        <f>SUM(R30:T30)</f>
        <v>0</v>
      </c>
      <c r="V30" s="8"/>
      <c r="W30" s="2" t="s">
        <v>1032</v>
      </c>
      <c r="X30" s="205">
        <f>O30</f>
        <v>0</v>
      </c>
      <c r="Y30" s="205">
        <f>U30</f>
        <v>0</v>
      </c>
      <c r="Z30" s="205">
        <f t="shared" si="1"/>
        <v>0</v>
      </c>
      <c r="AA30" s="126"/>
    </row>
    <row r="31" spans="1:27" x14ac:dyDescent="0.35">
      <c r="A31" s="419" t="s">
        <v>129</v>
      </c>
      <c r="B31" s="221">
        <v>35</v>
      </c>
      <c r="C31" s="11" t="s">
        <v>155</v>
      </c>
      <c r="D31" s="230">
        <f>F14</f>
        <v>12</v>
      </c>
      <c r="E31" s="11" t="s">
        <v>813</v>
      </c>
      <c r="F31" s="225">
        <f>D31*B31*8</f>
        <v>3360</v>
      </c>
      <c r="G31" s="410" t="s">
        <v>149</v>
      </c>
      <c r="H31" s="8"/>
      <c r="I31" s="124"/>
      <c r="J31" s="177" t="s">
        <v>997</v>
      </c>
      <c r="K31" s="197">
        <f>(R57/($I$16*$I$17))</f>
        <v>0</v>
      </c>
      <c r="L31" s="125" t="s">
        <v>432</v>
      </c>
      <c r="M31" s="8"/>
      <c r="N31" s="177" t="s">
        <v>1009</v>
      </c>
      <c r="O31" s="200">
        <f>$F$17*K31*$I$16</f>
        <v>0</v>
      </c>
      <c r="P31" s="8"/>
      <c r="Q31" s="2" t="s">
        <v>1021</v>
      </c>
      <c r="R31" s="202">
        <f>($I$16*$F$21*K31)</f>
        <v>0</v>
      </c>
      <c r="S31" s="204">
        <f>(($F$39*$I$16*(K31/$K$38))+(K31*$F$40*$I$16)+($F$27*R57))</f>
        <v>0</v>
      </c>
      <c r="T31" s="204">
        <f>($F$49*$I$16*(K31/$K$38))+($F$50*K31*$I$16)</f>
        <v>0</v>
      </c>
      <c r="U31" s="205">
        <f>SUM(R31:T31)</f>
        <v>0</v>
      </c>
      <c r="V31" s="8"/>
      <c r="W31" s="2" t="s">
        <v>1033</v>
      </c>
      <c r="X31" s="205">
        <f>O31</f>
        <v>0</v>
      </c>
      <c r="Y31" s="205">
        <f>U31</f>
        <v>0</v>
      </c>
      <c r="Z31" s="205">
        <f t="shared" si="1"/>
        <v>0</v>
      </c>
      <c r="AA31" s="126"/>
    </row>
    <row r="32" spans="1:27" x14ac:dyDescent="0.35">
      <c r="A32" s="419" t="s">
        <v>366</v>
      </c>
      <c r="B32" s="221">
        <v>40</v>
      </c>
      <c r="C32" s="11" t="s">
        <v>120</v>
      </c>
      <c r="D32" s="220">
        <v>3</v>
      </c>
      <c r="E32" s="11" t="s">
        <v>117</v>
      </c>
      <c r="F32" s="225">
        <f>D32*B32</f>
        <v>120</v>
      </c>
      <c r="G32" s="410" t="s">
        <v>376</v>
      </c>
      <c r="H32" s="9"/>
      <c r="I32" s="124"/>
      <c r="J32" s="124"/>
      <c r="K32" s="193"/>
      <c r="L32" s="126"/>
      <c r="M32" s="8"/>
      <c r="N32" s="124"/>
      <c r="O32" s="181"/>
      <c r="P32" s="8"/>
      <c r="Q32" s="8"/>
      <c r="R32" s="188"/>
      <c r="S32" s="189"/>
      <c r="T32" s="8"/>
      <c r="U32" s="8"/>
      <c r="V32" s="8"/>
      <c r="W32" s="8"/>
      <c r="X32" s="184"/>
      <c r="Y32" s="8"/>
      <c r="Z32" s="8"/>
      <c r="AA32" s="126"/>
    </row>
    <row r="33" spans="1:27" x14ac:dyDescent="0.35">
      <c r="A33" s="419" t="s">
        <v>365</v>
      </c>
      <c r="B33" s="221">
        <v>30</v>
      </c>
      <c r="C33" s="11" t="s">
        <v>120</v>
      </c>
      <c r="D33" s="220">
        <v>3</v>
      </c>
      <c r="E33" s="11" t="s">
        <v>117</v>
      </c>
      <c r="F33" s="225">
        <f>D33*B33</f>
        <v>90</v>
      </c>
      <c r="G33" s="410" t="s">
        <v>376</v>
      </c>
      <c r="H33" s="9"/>
      <c r="I33" s="124"/>
      <c r="J33" s="177" t="s">
        <v>998</v>
      </c>
      <c r="K33" s="197">
        <f>K28+K23</f>
        <v>614.86486486486478</v>
      </c>
      <c r="L33" s="125" t="s">
        <v>432</v>
      </c>
      <c r="M33" s="8"/>
      <c r="N33" s="177" t="s">
        <v>1010</v>
      </c>
      <c r="O33" s="200">
        <f>O28+O23</f>
        <v>10717463.513513513</v>
      </c>
      <c r="P33" s="8"/>
      <c r="Q33" s="2" t="s">
        <v>1022</v>
      </c>
      <c r="R33" s="204">
        <f>R28+R23</f>
        <v>346630.06756756757</v>
      </c>
      <c r="S33" s="204">
        <f>S28+S23</f>
        <v>13195170.810810808</v>
      </c>
      <c r="T33" s="223">
        <f>T28+T23</f>
        <v>6550310.81081081</v>
      </c>
      <c r="U33" s="205">
        <f>SUM(R33:T33)</f>
        <v>20092111.689189188</v>
      </c>
      <c r="V33" s="8"/>
      <c r="W33" s="2" t="s">
        <v>1034</v>
      </c>
      <c r="X33" s="205">
        <f>O33</f>
        <v>10717463.513513513</v>
      </c>
      <c r="Y33" s="205">
        <f>U33</f>
        <v>20092111.689189188</v>
      </c>
      <c r="Z33" s="205">
        <f t="shared" si="1"/>
        <v>30809575.202702701</v>
      </c>
      <c r="AA33" s="126"/>
    </row>
    <row r="34" spans="1:27" x14ac:dyDescent="0.35">
      <c r="A34" s="177" t="s">
        <v>23</v>
      </c>
      <c r="B34" s="221">
        <v>2187</v>
      </c>
      <c r="C34" s="65" t="s">
        <v>120</v>
      </c>
      <c r="D34" s="220">
        <v>1</v>
      </c>
      <c r="E34" s="60" t="s">
        <v>117</v>
      </c>
      <c r="F34" s="27">
        <f t="shared" ref="F34" si="2">D34*B34</f>
        <v>2187</v>
      </c>
      <c r="G34" s="410" t="s">
        <v>376</v>
      </c>
      <c r="I34" s="124"/>
      <c r="J34" s="177" t="s">
        <v>999</v>
      </c>
      <c r="K34" s="197">
        <f>K29+K24</f>
        <v>0</v>
      </c>
      <c r="L34" s="125" t="s">
        <v>432</v>
      </c>
      <c r="M34" s="8"/>
      <c r="N34" s="177" t="s">
        <v>1011</v>
      </c>
      <c r="O34" s="200">
        <f>O29+O24</f>
        <v>0</v>
      </c>
      <c r="P34" s="8"/>
      <c r="Q34" s="2" t="s">
        <v>1023</v>
      </c>
      <c r="R34" s="204">
        <f t="shared" ref="R34:T36" si="3">R29+R24</f>
        <v>0</v>
      </c>
      <c r="S34" s="204">
        <f t="shared" si="3"/>
        <v>0</v>
      </c>
      <c r="T34" s="223">
        <f t="shared" si="3"/>
        <v>0</v>
      </c>
      <c r="U34" s="205">
        <f>SUM(R34:T34)</f>
        <v>0</v>
      </c>
      <c r="V34" s="8"/>
      <c r="W34" s="2" t="s">
        <v>1035</v>
      </c>
      <c r="X34" s="205">
        <f>O34</f>
        <v>0</v>
      </c>
      <c r="Y34" s="205">
        <f>U34</f>
        <v>0</v>
      </c>
      <c r="Z34" s="205">
        <f t="shared" si="1"/>
        <v>0</v>
      </c>
      <c r="AA34" s="126"/>
    </row>
    <row r="35" spans="1:27" x14ac:dyDescent="0.35">
      <c r="A35" s="177" t="s">
        <v>62</v>
      </c>
      <c r="B35" s="221">
        <v>81</v>
      </c>
      <c r="C35" s="65" t="s">
        <v>149</v>
      </c>
      <c r="D35" s="513">
        <v>1</v>
      </c>
      <c r="E35" s="60" t="s">
        <v>117</v>
      </c>
      <c r="F35" s="27">
        <f>B35*D35</f>
        <v>81</v>
      </c>
      <c r="G35" s="410" t="s">
        <v>149</v>
      </c>
      <c r="I35" s="124"/>
      <c r="J35" s="177" t="s">
        <v>1000</v>
      </c>
      <c r="K35" s="197">
        <f>K30+K25</f>
        <v>0</v>
      </c>
      <c r="L35" s="125" t="s">
        <v>432</v>
      </c>
      <c r="M35" s="8"/>
      <c r="N35" s="177" t="s">
        <v>1012</v>
      </c>
      <c r="O35" s="200">
        <f>O30+O25</f>
        <v>0</v>
      </c>
      <c r="P35" s="8"/>
      <c r="Q35" s="2" t="s">
        <v>1024</v>
      </c>
      <c r="R35" s="204">
        <f t="shared" si="3"/>
        <v>0</v>
      </c>
      <c r="S35" s="204">
        <f t="shared" si="3"/>
        <v>0</v>
      </c>
      <c r="T35" s="223">
        <f t="shared" si="3"/>
        <v>0</v>
      </c>
      <c r="U35" s="205">
        <f>SUM(R35:T35)</f>
        <v>0</v>
      </c>
      <c r="V35" s="8"/>
      <c r="W35" s="2" t="s">
        <v>1036</v>
      </c>
      <c r="X35" s="205">
        <f>O35</f>
        <v>0</v>
      </c>
      <c r="Y35" s="205">
        <f>U35</f>
        <v>0</v>
      </c>
      <c r="Z35" s="205">
        <f t="shared" si="1"/>
        <v>0</v>
      </c>
      <c r="AA35" s="126"/>
    </row>
    <row r="36" spans="1:27" x14ac:dyDescent="0.35">
      <c r="A36" s="177" t="s">
        <v>26</v>
      </c>
      <c r="B36" s="221">
        <v>75.857142857142861</v>
      </c>
      <c r="C36" s="65" t="s">
        <v>149</v>
      </c>
      <c r="D36" s="513">
        <v>1</v>
      </c>
      <c r="E36" s="60" t="s">
        <v>117</v>
      </c>
      <c r="F36" s="27">
        <f>B36*D36</f>
        <v>75.857142857142861</v>
      </c>
      <c r="G36" s="410" t="s">
        <v>149</v>
      </c>
      <c r="I36" s="124"/>
      <c r="J36" s="177" t="s">
        <v>1001</v>
      </c>
      <c r="K36" s="197">
        <f>K31+K26</f>
        <v>0</v>
      </c>
      <c r="L36" s="125" t="s">
        <v>432</v>
      </c>
      <c r="M36" s="8"/>
      <c r="N36" s="177" t="s">
        <v>1013</v>
      </c>
      <c r="O36" s="200">
        <f>O31+O26</f>
        <v>0</v>
      </c>
      <c r="P36" s="8"/>
      <c r="Q36" s="2" t="s">
        <v>1025</v>
      </c>
      <c r="R36" s="204">
        <f t="shared" si="3"/>
        <v>0</v>
      </c>
      <c r="S36" s="204">
        <f t="shared" si="3"/>
        <v>0</v>
      </c>
      <c r="T36" s="223">
        <f t="shared" si="3"/>
        <v>0</v>
      </c>
      <c r="U36" s="205">
        <f>SUM(R36:T36)</f>
        <v>0</v>
      </c>
      <c r="V36" s="8"/>
      <c r="W36" s="2" t="s">
        <v>1037</v>
      </c>
      <c r="X36" s="205">
        <f>O36</f>
        <v>0</v>
      </c>
      <c r="Y36" s="205">
        <f>U36</f>
        <v>0</v>
      </c>
      <c r="Z36" s="205">
        <f t="shared" si="1"/>
        <v>0</v>
      </c>
      <c r="AA36" s="126"/>
    </row>
    <row r="37" spans="1:27" x14ac:dyDescent="0.35">
      <c r="A37" s="177" t="s">
        <v>1208</v>
      </c>
      <c r="B37" s="221"/>
      <c r="C37" s="65"/>
      <c r="D37" s="513"/>
      <c r="E37" s="60"/>
      <c r="F37" s="27"/>
      <c r="G37" s="410"/>
      <c r="I37" s="124"/>
      <c r="J37" s="124"/>
      <c r="K37" s="193"/>
      <c r="L37" s="126"/>
      <c r="M37" s="8"/>
      <c r="N37" s="124"/>
      <c r="O37" s="181"/>
      <c r="P37" s="8"/>
      <c r="Q37" s="2"/>
      <c r="R37" s="185"/>
      <c r="S37" s="186"/>
      <c r="T37" s="186"/>
      <c r="U37" s="187"/>
      <c r="V37" s="8"/>
      <c r="W37" s="2"/>
      <c r="X37" s="182"/>
      <c r="Y37" s="2"/>
      <c r="Z37" s="2"/>
      <c r="AA37" s="126"/>
    </row>
    <row r="38" spans="1:27" ht="15" thickBot="1" x14ac:dyDescent="0.4">
      <c r="A38" s="177"/>
      <c r="B38" s="1"/>
      <c r="C38" s="65"/>
      <c r="D38" s="50"/>
      <c r="E38" s="50"/>
      <c r="F38" s="3"/>
      <c r="G38" s="125"/>
      <c r="I38" s="124"/>
      <c r="J38" s="178" t="s">
        <v>803</v>
      </c>
      <c r="K38" s="198">
        <f>SUM(K33:K36)</f>
        <v>614.86486486486478</v>
      </c>
      <c r="L38" s="129" t="s">
        <v>432</v>
      </c>
      <c r="M38" s="8"/>
      <c r="N38" s="178" t="s">
        <v>804</v>
      </c>
      <c r="O38" s="201">
        <f>SUM(O33:O36)</f>
        <v>10717463.513513513</v>
      </c>
      <c r="P38" s="8"/>
      <c r="Q38" s="4" t="s">
        <v>805</v>
      </c>
      <c r="R38" s="204">
        <f>SUM(R33:R36)</f>
        <v>346630.06756756757</v>
      </c>
      <c r="S38" s="511">
        <f>SUM(S33:S36)</f>
        <v>13195170.810810808</v>
      </c>
      <c r="T38" s="207">
        <f>SUM(T33:T36)</f>
        <v>6550310.81081081</v>
      </c>
      <c r="U38" s="205">
        <f>SUM(R38:T38)</f>
        <v>20092111.689189188</v>
      </c>
      <c r="V38" s="8"/>
      <c r="W38" s="4" t="s">
        <v>1038</v>
      </c>
      <c r="X38" s="208">
        <f>SUM(X33:X36)</f>
        <v>10717463.513513513</v>
      </c>
      <c r="Y38" s="208">
        <f>SUM(Y33:Y36)</f>
        <v>20092111.689189188</v>
      </c>
      <c r="Z38" s="208">
        <f>SUM(Z33:Z36)</f>
        <v>30809575.202702701</v>
      </c>
      <c r="AA38" s="126"/>
    </row>
    <row r="39" spans="1:27" x14ac:dyDescent="0.35">
      <c r="A39" s="341" t="s">
        <v>87</v>
      </c>
      <c r="B39" s="1"/>
      <c r="C39" s="65"/>
      <c r="D39" s="50"/>
      <c r="E39" s="50"/>
      <c r="F39" s="30">
        <f>F32+F33+F34+F37</f>
        <v>2397</v>
      </c>
      <c r="G39" s="420" t="s">
        <v>376</v>
      </c>
      <c r="I39" s="124"/>
      <c r="J39" s="8"/>
      <c r="K39" s="8"/>
      <c r="L39" s="8"/>
      <c r="M39" s="8"/>
      <c r="N39" s="8"/>
      <c r="O39" s="8"/>
      <c r="P39" s="8"/>
      <c r="Q39" s="8"/>
      <c r="R39" s="8"/>
      <c r="S39" s="8"/>
      <c r="T39" s="8"/>
      <c r="U39" s="8"/>
      <c r="V39" s="8"/>
      <c r="W39" s="8"/>
      <c r="X39" s="8"/>
      <c r="Y39" s="8"/>
      <c r="Z39" s="8"/>
      <c r="AA39" s="126"/>
    </row>
    <row r="40" spans="1:27" ht="15" thickBot="1" x14ac:dyDescent="0.4">
      <c r="A40" s="284" t="s">
        <v>105</v>
      </c>
      <c r="B40" s="305"/>
      <c r="C40" s="286"/>
      <c r="D40" s="306"/>
      <c r="E40" s="306"/>
      <c r="F40" s="289">
        <f>F31+F35+F36</f>
        <v>3516.8571428571427</v>
      </c>
      <c r="G40" s="290" t="s">
        <v>149</v>
      </c>
      <c r="I40" s="124"/>
      <c r="J40" s="9"/>
      <c r="K40" s="9"/>
      <c r="L40" s="9"/>
      <c r="M40" s="8"/>
      <c r="N40" s="9"/>
      <c r="O40" s="9"/>
      <c r="P40" s="8"/>
      <c r="Q40" s="8"/>
      <c r="R40" s="8"/>
      <c r="S40" s="8"/>
      <c r="T40" s="8"/>
      <c r="U40" s="8"/>
      <c r="V40" s="184"/>
      <c r="W40" s="8"/>
      <c r="X40" s="8"/>
      <c r="Y40" s="8"/>
      <c r="Z40" s="8"/>
      <c r="AA40" s="126"/>
    </row>
    <row r="41" spans="1:27" ht="15" thickBot="1" x14ac:dyDescent="0.4">
      <c r="A41" s="242"/>
      <c r="B41" s="292"/>
      <c r="C41" s="391"/>
      <c r="D41" s="417"/>
      <c r="E41" s="417"/>
      <c r="F41" s="418"/>
      <c r="G41" s="319"/>
      <c r="I41" s="190"/>
      <c r="J41" s="8"/>
      <c r="K41" s="250"/>
      <c r="L41" s="8"/>
      <c r="M41" s="8"/>
      <c r="N41" s="8"/>
      <c r="O41" s="192"/>
      <c r="P41" s="8"/>
      <c r="Q41" s="8"/>
      <c r="R41" s="8"/>
      <c r="S41" s="8"/>
      <c r="T41" s="8"/>
      <c r="U41" s="8"/>
      <c r="V41" s="8"/>
      <c r="W41" s="8"/>
      <c r="X41" s="8"/>
      <c r="Y41" s="8"/>
      <c r="Z41" s="8"/>
      <c r="AA41" s="126"/>
    </row>
    <row r="42" spans="1:27" x14ac:dyDescent="0.35">
      <c r="A42" s="277" t="s">
        <v>31</v>
      </c>
      <c r="B42" s="278" t="s">
        <v>28</v>
      </c>
      <c r="C42" s="278" t="s">
        <v>150</v>
      </c>
      <c r="D42" s="278" t="s">
        <v>65</v>
      </c>
      <c r="E42" s="278" t="s">
        <v>150</v>
      </c>
      <c r="F42" s="279" t="s">
        <v>30</v>
      </c>
      <c r="G42" s="280" t="s">
        <v>150</v>
      </c>
      <c r="I42" s="124"/>
      <c r="J42" s="8"/>
      <c r="K42" s="9"/>
      <c r="L42" s="8"/>
      <c r="M42" s="8"/>
      <c r="N42" s="8"/>
      <c r="O42" s="192"/>
      <c r="P42" s="8"/>
      <c r="Q42" s="8"/>
      <c r="R42" s="8"/>
      <c r="S42" s="8"/>
      <c r="T42" s="8"/>
      <c r="U42" s="8"/>
      <c r="V42" s="8"/>
      <c r="W42" s="8"/>
      <c r="X42" s="8"/>
      <c r="Y42" s="8"/>
      <c r="Z42" s="8"/>
      <c r="AA42" s="126"/>
    </row>
    <row r="43" spans="1:27" x14ac:dyDescent="0.35">
      <c r="A43" s="339"/>
      <c r="B43" s="73"/>
      <c r="C43" s="73"/>
      <c r="D43" s="73"/>
      <c r="E43" s="81"/>
      <c r="F43" s="110"/>
      <c r="G43" s="334"/>
      <c r="I43" s="124"/>
      <c r="J43" s="8"/>
      <c r="K43" s="8"/>
      <c r="L43" s="8"/>
      <c r="M43" s="8"/>
      <c r="N43" s="8"/>
      <c r="O43" s="8"/>
      <c r="P43" s="8"/>
      <c r="Q43" s="8" t="s">
        <v>467</v>
      </c>
      <c r="R43" s="8"/>
      <c r="S43" s="8"/>
      <c r="T43" s="8"/>
      <c r="U43" s="8"/>
      <c r="V43" s="8"/>
      <c r="W43" s="8"/>
      <c r="X43" s="8"/>
      <c r="Y43" s="8"/>
      <c r="Z43" s="8"/>
      <c r="AA43" s="126"/>
    </row>
    <row r="44" spans="1:27" ht="29.5" thickBot="1" x14ac:dyDescent="0.4">
      <c r="A44" s="340" t="s">
        <v>390</v>
      </c>
      <c r="B44" s="234">
        <v>1</v>
      </c>
      <c r="C44" s="38" t="s">
        <v>44</v>
      </c>
      <c r="D44" s="230">
        <v>2000</v>
      </c>
      <c r="E44" s="38" t="s">
        <v>825</v>
      </c>
      <c r="F44" s="36">
        <f>D44*B44</f>
        <v>2000</v>
      </c>
      <c r="G44" s="410" t="s">
        <v>149</v>
      </c>
      <c r="H44" s="103"/>
      <c r="I44" s="127"/>
      <c r="J44" s="133"/>
      <c r="K44" s="133"/>
      <c r="L44" s="133"/>
      <c r="M44" s="133"/>
      <c r="N44" s="133"/>
      <c r="O44" s="133"/>
      <c r="P44" s="133"/>
      <c r="Q44" s="133"/>
      <c r="R44" s="133"/>
      <c r="S44" s="133"/>
      <c r="T44" s="133"/>
      <c r="U44" s="133"/>
      <c r="V44" s="133"/>
      <c r="W44" s="133"/>
      <c r="X44" s="133"/>
      <c r="Y44" s="133"/>
      <c r="Z44" s="133"/>
      <c r="AA44" s="134"/>
    </row>
    <row r="45" spans="1:27" x14ac:dyDescent="0.35">
      <c r="A45" s="380" t="s">
        <v>42</v>
      </c>
      <c r="B45" s="234">
        <v>300</v>
      </c>
      <c r="C45" s="38" t="s">
        <v>10</v>
      </c>
      <c r="D45" s="230">
        <v>1</v>
      </c>
      <c r="E45" s="60" t="s">
        <v>117</v>
      </c>
      <c r="F45" s="36">
        <f>D45*B45</f>
        <v>300</v>
      </c>
      <c r="G45" s="411" t="s">
        <v>376</v>
      </c>
      <c r="H45" s="8"/>
    </row>
    <row r="46" spans="1:27" x14ac:dyDescent="0.35">
      <c r="A46" s="380" t="s">
        <v>43</v>
      </c>
      <c r="B46" s="234">
        <v>100</v>
      </c>
      <c r="C46" s="38" t="s">
        <v>10</v>
      </c>
      <c r="D46" s="230">
        <v>1</v>
      </c>
      <c r="E46" s="60" t="s">
        <v>117</v>
      </c>
      <c r="F46" s="36">
        <f>D46*B46</f>
        <v>100</v>
      </c>
      <c r="G46" s="411" t="s">
        <v>376</v>
      </c>
    </row>
    <row r="47" spans="1:27" x14ac:dyDescent="0.35">
      <c r="A47" s="380" t="s">
        <v>47</v>
      </c>
      <c r="B47" s="234">
        <v>130</v>
      </c>
      <c r="C47" s="38" t="s">
        <v>10</v>
      </c>
      <c r="D47" s="230">
        <v>1</v>
      </c>
      <c r="E47" s="60" t="s">
        <v>117</v>
      </c>
      <c r="F47" s="36">
        <f>D47*B47</f>
        <v>130</v>
      </c>
      <c r="G47" s="411" t="s">
        <v>376</v>
      </c>
      <c r="H47" s="8"/>
      <c r="Q47" t="s">
        <v>1040</v>
      </c>
    </row>
    <row r="48" spans="1:27" x14ac:dyDescent="0.35">
      <c r="A48" s="412" t="s">
        <v>101</v>
      </c>
      <c r="B48" s="51"/>
      <c r="C48" s="51"/>
      <c r="D48" s="51"/>
      <c r="E48" s="51"/>
      <c r="F48" s="2"/>
      <c r="G48" s="125"/>
    </row>
    <row r="49" spans="1:18" ht="29" x14ac:dyDescent="0.35">
      <c r="A49" s="413" t="s">
        <v>829</v>
      </c>
      <c r="B49" s="51"/>
      <c r="C49" s="51"/>
      <c r="D49" s="51"/>
      <c r="E49" s="51"/>
      <c r="F49" s="49">
        <f>F45+F46</f>
        <v>400</v>
      </c>
      <c r="G49" s="342" t="s">
        <v>376</v>
      </c>
      <c r="Q49" s="76" t="s">
        <v>1052</v>
      </c>
      <c r="R49" s="516">
        <f>(GIS_inputs!C50/148)</f>
        <v>2635.135135135135</v>
      </c>
    </row>
    <row r="50" spans="1:18" ht="29.5" thickBot="1" x14ac:dyDescent="0.4">
      <c r="A50" s="414" t="s">
        <v>830</v>
      </c>
      <c r="B50" s="415"/>
      <c r="C50" s="415"/>
      <c r="D50" s="415"/>
      <c r="E50" s="415"/>
      <c r="F50" s="416">
        <f>F44+F47</f>
        <v>2130</v>
      </c>
      <c r="G50" s="290" t="s">
        <v>149</v>
      </c>
      <c r="Q50" s="76" t="s">
        <v>1053</v>
      </c>
      <c r="R50" s="516">
        <f>(GIS_inputs!C51/300)</f>
        <v>0</v>
      </c>
    </row>
    <row r="51" spans="1:18" ht="29" x14ac:dyDescent="0.35">
      <c r="A51" s="54"/>
      <c r="B51" s="54"/>
      <c r="C51" s="54"/>
      <c r="D51" s="54"/>
      <c r="E51" s="54"/>
      <c r="Q51" s="76" t="s">
        <v>1054</v>
      </c>
      <c r="R51" s="516">
        <f>(GIS_inputs!C52/890)</f>
        <v>0</v>
      </c>
    </row>
    <row r="52" spans="1:18" ht="29" x14ac:dyDescent="0.35">
      <c r="A52" s="55" t="s">
        <v>96</v>
      </c>
      <c r="B52" s="54"/>
      <c r="C52" s="54"/>
      <c r="D52" s="54"/>
      <c r="E52" s="54"/>
      <c r="Q52" s="76" t="s">
        <v>1055</v>
      </c>
      <c r="R52" s="516">
        <f>(GIS_inputs!C53/1110)</f>
        <v>0</v>
      </c>
    </row>
    <row r="53" spans="1:18" x14ac:dyDescent="0.35">
      <c r="A53" s="54" t="s">
        <v>97</v>
      </c>
      <c r="B53" s="54"/>
      <c r="C53" s="54"/>
      <c r="D53" s="54"/>
      <c r="E53" s="54"/>
    </row>
    <row r="54" spans="1:18" ht="29" x14ac:dyDescent="0.35">
      <c r="A54" s="54" t="s">
        <v>98</v>
      </c>
      <c r="B54" s="54"/>
      <c r="C54" s="54"/>
      <c r="D54" s="54"/>
      <c r="E54" s="54"/>
      <c r="Q54" s="76" t="s">
        <v>1056</v>
      </c>
      <c r="R54" s="516">
        <f>(GIS_inputs!C121/148)</f>
        <v>3513.5135135135133</v>
      </c>
    </row>
    <row r="55" spans="1:18" ht="29" x14ac:dyDescent="0.35">
      <c r="A55" s="10" t="s">
        <v>102</v>
      </c>
      <c r="B55" s="54"/>
      <c r="C55" s="54"/>
      <c r="D55" s="54"/>
      <c r="E55" s="54"/>
      <c r="Q55" s="76" t="s">
        <v>1057</v>
      </c>
      <c r="R55" s="516">
        <f>(GIS_inputs!C122/300)</f>
        <v>0</v>
      </c>
    </row>
    <row r="56" spans="1:18" ht="29" x14ac:dyDescent="0.35">
      <c r="A56" s="10"/>
      <c r="B56" s="54"/>
      <c r="C56" s="54"/>
      <c r="D56" s="54"/>
      <c r="E56" s="54"/>
      <c r="Q56" s="76" t="s">
        <v>1058</v>
      </c>
      <c r="R56" s="516">
        <f>(GIS_inputs!C123/890)</f>
        <v>0</v>
      </c>
    </row>
    <row r="57" spans="1:18" ht="29" x14ac:dyDescent="0.35">
      <c r="B57" s="54"/>
      <c r="C57" s="54"/>
      <c r="D57" s="54"/>
      <c r="E57" s="54"/>
      <c r="Q57" s="76" t="s">
        <v>1059</v>
      </c>
      <c r="R57" s="516">
        <f>(GIS_inputs!C124/1110)</f>
        <v>0</v>
      </c>
    </row>
    <row r="59" spans="1:18" x14ac:dyDescent="0.35">
      <c r="A59" s="55" t="s">
        <v>1041</v>
      </c>
      <c r="Q59" s="2" t="s">
        <v>1060</v>
      </c>
      <c r="R59" s="516">
        <f>R54+R49</f>
        <v>6148.6486486486483</v>
      </c>
    </row>
    <row r="60" spans="1:18" x14ac:dyDescent="0.35">
      <c r="Q60" s="2" t="s">
        <v>1061</v>
      </c>
      <c r="R60" s="516">
        <f t="shared" ref="R60:R62" si="4">R55+R50</f>
        <v>0</v>
      </c>
    </row>
    <row r="61" spans="1:18" x14ac:dyDescent="0.35">
      <c r="A61" t="s">
        <v>1043</v>
      </c>
      <c r="Q61" s="2" t="s">
        <v>1062</v>
      </c>
      <c r="R61" s="516">
        <f t="shared" si="4"/>
        <v>0</v>
      </c>
    </row>
    <row r="62" spans="1:18" x14ac:dyDescent="0.35">
      <c r="A62" t="s">
        <v>1044</v>
      </c>
      <c r="Q62" s="2" t="s">
        <v>1063</v>
      </c>
      <c r="R62" s="516">
        <f t="shared" si="4"/>
        <v>0</v>
      </c>
    </row>
    <row r="63" spans="1:18" x14ac:dyDescent="0.35">
      <c r="A63" t="s">
        <v>1042</v>
      </c>
    </row>
    <row r="64" spans="1:18" x14ac:dyDescent="0.35">
      <c r="A64" t="s">
        <v>1075</v>
      </c>
      <c r="Q64" s="2" t="s">
        <v>1051</v>
      </c>
      <c r="R64" s="516">
        <f>SUM(R59:R62)</f>
        <v>6148.6486486486483</v>
      </c>
    </row>
    <row r="65" spans="1:18" x14ac:dyDescent="0.35">
      <c r="A65" t="s">
        <v>1045</v>
      </c>
    </row>
    <row r="66" spans="1:18" x14ac:dyDescent="0.35">
      <c r="A66" t="s">
        <v>1046</v>
      </c>
      <c r="Q66" s="450" t="s">
        <v>798</v>
      </c>
      <c r="R66" s="517">
        <f>(R64*4000)/43560</f>
        <v>564.6142009778373</v>
      </c>
    </row>
    <row r="67" spans="1:18" x14ac:dyDescent="0.35">
      <c r="A67" t="s">
        <v>1050</v>
      </c>
    </row>
    <row r="68" spans="1:18" x14ac:dyDescent="0.35">
      <c r="A68" t="s">
        <v>1048</v>
      </c>
    </row>
    <row r="69" spans="1:18" x14ac:dyDescent="0.35">
      <c r="A69" t="s">
        <v>1049</v>
      </c>
    </row>
    <row r="70" spans="1:18" x14ac:dyDescent="0.35">
      <c r="A70" t="s">
        <v>1067</v>
      </c>
    </row>
    <row r="71" spans="1:18" x14ac:dyDescent="0.35">
      <c r="A71" t="s">
        <v>1047</v>
      </c>
    </row>
    <row r="74" spans="1:18" x14ac:dyDescent="0.35">
      <c r="B74">
        <f>((2*3000)*2000)/43560</f>
        <v>275.48209366391183</v>
      </c>
      <c r="C74">
        <f>B74/2000</f>
        <v>0.13774104683195593</v>
      </c>
    </row>
    <row r="75" spans="1:18" x14ac:dyDescent="0.35">
      <c r="E75" s="443" t="s">
        <v>1068</v>
      </c>
      <c r="F75" s="443" t="s">
        <v>1069</v>
      </c>
    </row>
    <row r="76" spans="1:18" x14ac:dyDescent="0.35">
      <c r="E76">
        <v>148</v>
      </c>
      <c r="F76">
        <v>600</v>
      </c>
    </row>
    <row r="77" spans="1:18" x14ac:dyDescent="0.35">
      <c r="A77" s="246" t="s">
        <v>387</v>
      </c>
      <c r="E77">
        <f>E76*(F76/F77)</f>
        <v>296</v>
      </c>
      <c r="F77">
        <v>300</v>
      </c>
    </row>
    <row r="78" spans="1:18" x14ac:dyDescent="0.35">
      <c r="A78" s="2"/>
      <c r="B78" s="247"/>
      <c r="C78" s="248"/>
      <c r="E78">
        <f>E76*(F76/F78)</f>
        <v>888</v>
      </c>
      <c r="F78">
        <v>100</v>
      </c>
    </row>
    <row r="79" spans="1:18" x14ac:dyDescent="0.35">
      <c r="A79" s="2" t="s">
        <v>67</v>
      </c>
      <c r="B79" s="1"/>
      <c r="C79" s="65"/>
      <c r="E79">
        <f>E76*(F76/F79)</f>
        <v>1110</v>
      </c>
      <c r="F79">
        <v>80</v>
      </c>
    </row>
    <row r="80" spans="1:18" x14ac:dyDescent="0.35">
      <c r="A80" s="2" t="s">
        <v>69</v>
      </c>
      <c r="B80" s="109">
        <v>600</v>
      </c>
      <c r="C80" s="65" t="s">
        <v>388</v>
      </c>
    </row>
    <row r="81" spans="1:3" x14ac:dyDescent="0.35">
      <c r="A81" s="2" t="s">
        <v>68</v>
      </c>
      <c r="B81" s="109">
        <v>300</v>
      </c>
      <c r="C81" s="65" t="s">
        <v>388</v>
      </c>
    </row>
    <row r="82" spans="1:3" x14ac:dyDescent="0.35">
      <c r="A82" s="2" t="s">
        <v>70</v>
      </c>
      <c r="B82" s="109">
        <v>100</v>
      </c>
      <c r="C82" s="65" t="s">
        <v>388</v>
      </c>
    </row>
    <row r="83" spans="1:3" x14ac:dyDescent="0.35">
      <c r="A83" s="2"/>
      <c r="B83" s="109">
        <v>80</v>
      </c>
      <c r="C83" s="65" t="s">
        <v>388</v>
      </c>
    </row>
    <row r="84" spans="1:3" x14ac:dyDescent="0.35">
      <c r="B84" s="1"/>
      <c r="C84" s="65"/>
    </row>
  </sheetData>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4.5" x14ac:dyDescent="0.35"/>
  <cols>
    <col min="1" max="1" width="31.54296875" customWidth="1"/>
  </cols>
  <sheetData>
    <row r="1" spans="1:1" ht="21.5" thickBot="1" x14ac:dyDescent="0.55000000000000004">
      <c r="A1" s="70" t="s">
        <v>144</v>
      </c>
    </row>
    <row r="3" spans="1:1" x14ac:dyDescent="0.35">
      <c r="A3" t="s">
        <v>730</v>
      </c>
    </row>
    <row r="4" spans="1:1" x14ac:dyDescent="0.35">
      <c r="A4" t="s">
        <v>731</v>
      </c>
    </row>
    <row r="5" spans="1:1" x14ac:dyDescent="0.35">
      <c r="A5" t="s">
        <v>1265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1"/>
  <sheetViews>
    <sheetView workbookViewId="0"/>
  </sheetViews>
  <sheetFormatPr defaultRowHeight="14.5" x14ac:dyDescent="0.35"/>
  <cols>
    <col min="1" max="1" width="51.36328125" customWidth="1"/>
    <col min="2" max="4" width="12.6328125" customWidth="1"/>
    <col min="5" max="5" width="28.453125" customWidth="1"/>
    <col min="6" max="6" width="12.6328125" customWidth="1"/>
    <col min="7" max="7" width="14.6328125" customWidth="1"/>
    <col min="8" max="8" width="9.54296875" style="12" customWidth="1"/>
    <col min="10" max="10" width="69.6328125" customWidth="1"/>
    <col min="11" max="11" width="17.54296875" customWidth="1"/>
    <col min="14" max="14" width="66.453125" customWidth="1"/>
    <col min="15" max="15" width="16.54296875" customWidth="1"/>
    <col min="17" max="17" width="68.36328125" customWidth="1"/>
    <col min="18" max="18" width="17.90625" customWidth="1"/>
    <col min="19" max="19" width="27.08984375" customWidth="1"/>
    <col min="20" max="20" width="22.90625" customWidth="1"/>
    <col min="21" max="21" width="23" customWidth="1"/>
    <col min="22" max="22" width="14.54296875" customWidth="1"/>
    <col min="23" max="23" width="57.36328125" customWidth="1"/>
    <col min="24" max="24" width="56.90625" customWidth="1"/>
    <col min="25" max="25" width="18.36328125" customWidth="1"/>
    <col min="26" max="26" width="21.6328125" customWidth="1"/>
    <col min="27" max="27" width="12.6328125" customWidth="1"/>
  </cols>
  <sheetData>
    <row r="1" spans="1:27" ht="21.5" thickBot="1" x14ac:dyDescent="0.55000000000000004">
      <c r="A1" s="70" t="s">
        <v>131</v>
      </c>
    </row>
    <row r="3" spans="1:27" x14ac:dyDescent="0.35">
      <c r="A3" t="s">
        <v>381</v>
      </c>
    </row>
    <row r="4" spans="1:27" x14ac:dyDescent="0.35">
      <c r="A4" t="s">
        <v>382</v>
      </c>
    </row>
    <row r="5" spans="1:27" x14ac:dyDescent="0.35">
      <c r="A5" t="s">
        <v>728</v>
      </c>
    </row>
    <row r="7" spans="1:27" ht="15" thickBot="1" x14ac:dyDescent="0.4"/>
    <row r="8" spans="1:27" x14ac:dyDescent="0.35">
      <c r="A8" s="277" t="s">
        <v>3</v>
      </c>
      <c r="B8" s="278" t="s">
        <v>28</v>
      </c>
      <c r="C8" s="278" t="s">
        <v>150</v>
      </c>
      <c r="D8" s="278" t="s">
        <v>65</v>
      </c>
      <c r="E8" s="278" t="s">
        <v>150</v>
      </c>
      <c r="F8" s="279" t="s">
        <v>30</v>
      </c>
      <c r="G8" s="280" t="s">
        <v>150</v>
      </c>
      <c r="H8" s="103"/>
    </row>
    <row r="9" spans="1:27" x14ac:dyDescent="0.35">
      <c r="A9" s="281"/>
      <c r="B9" s="1"/>
      <c r="C9" s="11"/>
      <c r="D9" s="65"/>
      <c r="E9" s="15"/>
      <c r="F9" s="28"/>
      <c r="G9" s="283"/>
      <c r="H9" s="103"/>
      <c r="I9" s="232"/>
      <c r="J9" t="s">
        <v>34</v>
      </c>
    </row>
    <row r="10" spans="1:27" x14ac:dyDescent="0.35">
      <c r="A10" s="298" t="s">
        <v>94</v>
      </c>
      <c r="B10" s="221">
        <v>11.87</v>
      </c>
      <c r="C10" s="11" t="s">
        <v>155</v>
      </c>
      <c r="D10" s="230">
        <v>2</v>
      </c>
      <c r="E10" s="65" t="s">
        <v>116</v>
      </c>
      <c r="F10" s="27">
        <f>D10*B10*$D$16</f>
        <v>284.88</v>
      </c>
      <c r="G10" s="283" t="s">
        <v>149</v>
      </c>
      <c r="H10" s="103"/>
    </row>
    <row r="11" spans="1:27" x14ac:dyDescent="0.35">
      <c r="A11" s="298" t="s">
        <v>6</v>
      </c>
      <c r="B11" s="221">
        <v>17.510000000000002</v>
      </c>
      <c r="C11" s="11" t="s">
        <v>155</v>
      </c>
      <c r="D11" s="230">
        <v>1</v>
      </c>
      <c r="E11" s="65" t="s">
        <v>116</v>
      </c>
      <c r="F11" s="27">
        <f t="shared" ref="F11:F15" si="0">D11*B11*$D$16</f>
        <v>210.12</v>
      </c>
      <c r="G11" s="283" t="s">
        <v>149</v>
      </c>
      <c r="H11" s="103"/>
      <c r="I11" s="25"/>
      <c r="J11" t="s">
        <v>935</v>
      </c>
    </row>
    <row r="12" spans="1:27" x14ac:dyDescent="0.35">
      <c r="A12" s="299" t="s">
        <v>93</v>
      </c>
      <c r="B12" s="221">
        <v>21.62</v>
      </c>
      <c r="C12" s="11" t="s">
        <v>155</v>
      </c>
      <c r="D12" s="230">
        <v>1</v>
      </c>
      <c r="E12" s="65" t="s">
        <v>116</v>
      </c>
      <c r="F12" s="27">
        <f t="shared" si="0"/>
        <v>259.44</v>
      </c>
      <c r="G12" s="283" t="s">
        <v>149</v>
      </c>
      <c r="H12" s="103"/>
    </row>
    <row r="13" spans="1:27" x14ac:dyDescent="0.35">
      <c r="A13" s="299" t="s">
        <v>154</v>
      </c>
      <c r="B13" s="221">
        <v>19.829999999999998</v>
      </c>
      <c r="C13" s="11" t="s">
        <v>155</v>
      </c>
      <c r="D13" s="230">
        <v>0</v>
      </c>
      <c r="E13" s="65" t="s">
        <v>116</v>
      </c>
      <c r="F13" s="27">
        <f t="shared" si="0"/>
        <v>0</v>
      </c>
      <c r="G13" s="283" t="s">
        <v>149</v>
      </c>
      <c r="H13" s="103"/>
      <c r="I13" s="195"/>
      <c r="J13" t="s">
        <v>66</v>
      </c>
    </row>
    <row r="14" spans="1:27" ht="15" thickBot="1" x14ac:dyDescent="0.4">
      <c r="A14" s="299" t="s">
        <v>153</v>
      </c>
      <c r="B14" s="221">
        <v>19.88</v>
      </c>
      <c r="C14" s="11" t="s">
        <v>155</v>
      </c>
      <c r="D14" s="230">
        <v>3</v>
      </c>
      <c r="E14" s="65" t="s">
        <v>116</v>
      </c>
      <c r="F14" s="27">
        <f t="shared" si="0"/>
        <v>715.68000000000006</v>
      </c>
      <c r="G14" s="283" t="s">
        <v>149</v>
      </c>
      <c r="H14" s="103"/>
    </row>
    <row r="15" spans="1:27" x14ac:dyDescent="0.35">
      <c r="A15" s="299" t="s">
        <v>95</v>
      </c>
      <c r="B15" s="221">
        <v>19.760000000000002</v>
      </c>
      <c r="C15" s="11" t="s">
        <v>155</v>
      </c>
      <c r="D15" s="230">
        <v>1</v>
      </c>
      <c r="E15" s="65" t="s">
        <v>116</v>
      </c>
      <c r="F15" s="27">
        <f t="shared" si="0"/>
        <v>237.12</v>
      </c>
      <c r="G15" s="283" t="s">
        <v>149</v>
      </c>
      <c r="H15" s="103"/>
      <c r="I15" s="137"/>
      <c r="J15" s="131"/>
      <c r="K15" s="131"/>
      <c r="L15" s="131"/>
      <c r="M15" s="131"/>
      <c r="N15" s="131"/>
      <c r="O15" s="131"/>
      <c r="P15" s="131"/>
      <c r="Q15" s="131"/>
      <c r="R15" s="131"/>
      <c r="S15" s="131"/>
      <c r="T15" s="131"/>
      <c r="U15" s="131"/>
      <c r="V15" s="131"/>
      <c r="W15" s="131"/>
      <c r="X15" s="131"/>
      <c r="Y15" s="131"/>
      <c r="Z15" s="131"/>
      <c r="AA15" s="132"/>
    </row>
    <row r="16" spans="1:27" ht="29" x14ac:dyDescent="0.35">
      <c r="A16" s="301" t="s">
        <v>132</v>
      </c>
      <c r="B16" s="5"/>
      <c r="C16" s="11"/>
      <c r="D16" s="230">
        <v>12</v>
      </c>
      <c r="E16" s="65" t="s">
        <v>118</v>
      </c>
      <c r="F16" s="113">
        <f>D16</f>
        <v>12</v>
      </c>
      <c r="G16" s="302" t="s">
        <v>118</v>
      </c>
      <c r="H16" s="103"/>
      <c r="I16" s="124" t="s">
        <v>912</v>
      </c>
      <c r="J16" s="8"/>
      <c r="K16" s="8"/>
      <c r="L16" s="8"/>
      <c r="M16" s="8"/>
      <c r="N16" s="8"/>
      <c r="O16" s="8"/>
      <c r="P16" s="8"/>
      <c r="Q16" s="8"/>
      <c r="R16" s="8"/>
      <c r="S16" s="8"/>
      <c r="T16" s="8"/>
      <c r="U16" s="8"/>
      <c r="V16" s="8"/>
      <c r="W16" s="8"/>
      <c r="X16" s="8"/>
      <c r="Y16" s="8"/>
      <c r="Z16" s="8"/>
      <c r="AA16" s="126"/>
    </row>
    <row r="17" spans="1:27" ht="29" x14ac:dyDescent="0.35">
      <c r="A17" s="301" t="s">
        <v>162</v>
      </c>
      <c r="B17" s="221">
        <v>123</v>
      </c>
      <c r="C17" s="102" t="s">
        <v>157</v>
      </c>
      <c r="D17" s="230">
        <f>SUM(D10:D15)</f>
        <v>8</v>
      </c>
      <c r="E17" s="65" t="s">
        <v>116</v>
      </c>
      <c r="F17" s="115">
        <f>D17*B17</f>
        <v>984</v>
      </c>
      <c r="G17" s="303" t="s">
        <v>149</v>
      </c>
      <c r="H17" s="103"/>
      <c r="I17" s="124"/>
      <c r="J17" s="8"/>
      <c r="K17" s="8"/>
      <c r="L17" s="8"/>
      <c r="M17" s="8"/>
      <c r="N17" s="8"/>
      <c r="O17" s="8"/>
      <c r="P17" s="8"/>
      <c r="Q17" s="8"/>
      <c r="R17" s="8"/>
      <c r="S17" s="8"/>
      <c r="T17" s="8"/>
      <c r="U17" s="8"/>
      <c r="V17" s="8"/>
      <c r="W17" s="8"/>
      <c r="X17" s="8"/>
      <c r="Y17" s="8"/>
      <c r="Z17" s="8"/>
      <c r="AA17" s="126"/>
    </row>
    <row r="18" spans="1:27" ht="15.5" x14ac:dyDescent="0.35">
      <c r="A18" s="281"/>
      <c r="B18" s="5"/>
      <c r="C18" s="11"/>
      <c r="D18" s="61"/>
      <c r="E18" s="15"/>
      <c r="F18" s="28"/>
      <c r="G18" s="283"/>
      <c r="H18" s="103"/>
      <c r="I18" s="233">
        <v>5</v>
      </c>
      <c r="J18" s="175" t="s">
        <v>1194</v>
      </c>
      <c r="K18" s="8"/>
      <c r="L18" s="8"/>
      <c r="M18" s="8"/>
      <c r="N18" s="8"/>
      <c r="O18" s="8"/>
      <c r="P18" s="8"/>
      <c r="Q18" s="8"/>
      <c r="R18" s="8"/>
      <c r="S18" s="8"/>
      <c r="T18" s="8"/>
      <c r="U18" s="8"/>
      <c r="V18" s="8"/>
      <c r="W18" s="8"/>
      <c r="X18" s="8"/>
      <c r="Y18" s="8"/>
      <c r="Z18" s="8"/>
      <c r="AA18" s="126"/>
    </row>
    <row r="19" spans="1:27" ht="16" thickBot="1" x14ac:dyDescent="0.4">
      <c r="A19" s="304" t="s">
        <v>8</v>
      </c>
      <c r="B19" s="305"/>
      <c r="C19" s="306"/>
      <c r="D19" s="286"/>
      <c r="E19" s="307"/>
      <c r="F19" s="318">
        <f>SUM(F10:F15)</f>
        <v>1707.2400000000002</v>
      </c>
      <c r="G19" s="290" t="s">
        <v>149</v>
      </c>
      <c r="H19" s="103"/>
      <c r="I19" s="233">
        <v>5</v>
      </c>
      <c r="J19" s="175" t="s">
        <v>1195</v>
      </c>
      <c r="K19" s="8"/>
      <c r="L19" s="8"/>
      <c r="M19" s="8"/>
      <c r="N19" s="8"/>
      <c r="O19" s="8"/>
      <c r="P19" s="8"/>
      <c r="Q19" s="8"/>
      <c r="R19" s="8"/>
      <c r="S19" s="8"/>
      <c r="T19" s="8"/>
      <c r="U19" s="8"/>
      <c r="V19" s="8"/>
      <c r="W19" s="8"/>
      <c r="X19" s="8"/>
      <c r="Y19" s="8"/>
      <c r="Z19" s="8"/>
      <c r="AA19" s="126"/>
    </row>
    <row r="20" spans="1:27" ht="16" thickBot="1" x14ac:dyDescent="0.4">
      <c r="A20" s="291"/>
      <c r="B20" s="292"/>
      <c r="C20" s="293"/>
      <c r="D20" s="294"/>
      <c r="E20" s="295"/>
      <c r="F20" s="296"/>
      <c r="G20" s="297"/>
      <c r="H20" s="103"/>
      <c r="I20" s="504">
        <v>0.5</v>
      </c>
      <c r="J20" s="175" t="s">
        <v>897</v>
      </c>
      <c r="K20" s="8"/>
      <c r="L20" s="8"/>
      <c r="M20" s="8"/>
      <c r="N20" s="8"/>
      <c r="O20" s="8"/>
      <c r="P20" s="8"/>
      <c r="Q20" s="8"/>
      <c r="R20" s="8"/>
      <c r="S20" s="8"/>
      <c r="T20" s="8"/>
      <c r="U20" s="8"/>
      <c r="V20" s="8"/>
      <c r="W20" s="8"/>
      <c r="X20" s="8"/>
      <c r="Y20" s="8"/>
      <c r="Z20" s="8"/>
      <c r="AA20" s="126"/>
    </row>
    <row r="21" spans="1:27" x14ac:dyDescent="0.35">
      <c r="A21" s="277" t="s">
        <v>601</v>
      </c>
      <c r="B21" s="278" t="s">
        <v>28</v>
      </c>
      <c r="C21" s="278" t="s">
        <v>150</v>
      </c>
      <c r="D21" s="278" t="s">
        <v>65</v>
      </c>
      <c r="E21" s="278" t="s">
        <v>150</v>
      </c>
      <c r="F21" s="279" t="s">
        <v>30</v>
      </c>
      <c r="G21" s="280" t="s">
        <v>150</v>
      </c>
      <c r="H21" s="434"/>
      <c r="I21" s="452"/>
      <c r="J21" s="209"/>
      <c r="K21" s="8"/>
      <c r="L21" s="8"/>
      <c r="M21" s="8"/>
      <c r="N21" s="8"/>
      <c r="O21" s="8"/>
      <c r="P21" s="8"/>
      <c r="Q21" s="8"/>
      <c r="R21" s="8"/>
      <c r="S21" s="8"/>
      <c r="T21" s="8"/>
      <c r="U21" s="8"/>
      <c r="V21" s="8"/>
      <c r="W21" s="8"/>
      <c r="X21" s="8"/>
      <c r="Y21" s="8"/>
      <c r="Z21" s="8"/>
      <c r="AA21" s="126"/>
    </row>
    <row r="22" spans="1:27" x14ac:dyDescent="0.35">
      <c r="A22" s="281"/>
      <c r="B22" s="282"/>
      <c r="C22" s="60"/>
      <c r="D22" s="61"/>
      <c r="E22" s="72"/>
      <c r="F22" s="75"/>
      <c r="G22" s="283"/>
      <c r="H22" s="103"/>
      <c r="I22" s="124" t="s">
        <v>896</v>
      </c>
      <c r="J22" s="8"/>
      <c r="K22" s="8"/>
      <c r="L22" s="8"/>
      <c r="M22" s="8"/>
      <c r="N22" s="8"/>
      <c r="O22" s="8"/>
      <c r="P22" s="8"/>
      <c r="Q22" s="8"/>
      <c r="R22" s="8"/>
      <c r="S22" s="8"/>
      <c r="T22" s="8"/>
      <c r="U22" s="8"/>
      <c r="V22" s="8"/>
      <c r="W22" s="8"/>
      <c r="X22" s="8"/>
      <c r="Y22" s="8"/>
      <c r="Z22" s="8"/>
      <c r="AA22" s="126"/>
    </row>
    <row r="23" spans="1:27" ht="15" thickBot="1" x14ac:dyDescent="0.4">
      <c r="A23" s="284" t="s">
        <v>11</v>
      </c>
      <c r="B23" s="285">
        <v>10.25</v>
      </c>
      <c r="C23" s="286" t="s">
        <v>120</v>
      </c>
      <c r="D23" s="287">
        <f>SUM(D10:D15)</f>
        <v>8</v>
      </c>
      <c r="E23" s="288" t="s">
        <v>156</v>
      </c>
      <c r="F23" s="318">
        <f>D23*B23</f>
        <v>82</v>
      </c>
      <c r="G23" s="290" t="s">
        <v>149</v>
      </c>
      <c r="H23" s="103"/>
      <c r="I23" s="124" t="s">
        <v>415</v>
      </c>
      <c r="J23" s="8"/>
      <c r="K23" s="8"/>
      <c r="L23" s="8"/>
      <c r="M23" s="8"/>
      <c r="N23" s="8"/>
      <c r="O23" s="8"/>
      <c r="P23" s="8"/>
      <c r="Q23" s="8"/>
      <c r="R23" s="8"/>
      <c r="S23" s="8"/>
      <c r="T23" s="8"/>
      <c r="U23" s="8"/>
      <c r="V23" s="8"/>
      <c r="W23" s="8"/>
      <c r="X23" s="8"/>
      <c r="Y23" s="8"/>
      <c r="Z23" s="8"/>
      <c r="AA23" s="126"/>
    </row>
    <row r="24" spans="1:27" ht="15" thickBot="1" x14ac:dyDescent="0.4">
      <c r="A24" s="308"/>
      <c r="B24" s="309"/>
      <c r="C24" s="310"/>
      <c r="D24" s="311"/>
      <c r="E24" s="294"/>
      <c r="F24" s="296"/>
      <c r="G24" s="297"/>
      <c r="I24" s="124"/>
      <c r="J24" s="8"/>
      <c r="K24" s="8"/>
      <c r="L24" s="8"/>
      <c r="M24" s="8"/>
      <c r="N24" s="8"/>
      <c r="O24" s="8"/>
      <c r="P24" s="8"/>
      <c r="Q24" s="8"/>
      <c r="R24" s="211" t="s">
        <v>475</v>
      </c>
      <c r="S24" s="211" t="s">
        <v>474</v>
      </c>
      <c r="T24" s="211" t="s">
        <v>31</v>
      </c>
      <c r="U24" s="211" t="s">
        <v>30</v>
      </c>
      <c r="V24" s="8"/>
      <c r="W24" s="211" t="s">
        <v>472</v>
      </c>
      <c r="X24" s="211" t="s">
        <v>473</v>
      </c>
      <c r="Y24" s="211" t="s">
        <v>480</v>
      </c>
      <c r="Z24" s="211" t="s">
        <v>75</v>
      </c>
      <c r="AA24" s="126"/>
    </row>
    <row r="25" spans="1:27" x14ac:dyDescent="0.35">
      <c r="A25" s="314" t="s">
        <v>474</v>
      </c>
      <c r="B25" s="278" t="s">
        <v>28</v>
      </c>
      <c r="C25" s="278" t="s">
        <v>150</v>
      </c>
      <c r="D25" s="278" t="s">
        <v>65</v>
      </c>
      <c r="E25" s="278" t="s">
        <v>150</v>
      </c>
      <c r="F25" s="279" t="s">
        <v>30</v>
      </c>
      <c r="G25" s="280" t="s">
        <v>150</v>
      </c>
      <c r="H25" s="103"/>
      <c r="I25" s="124"/>
      <c r="J25" s="176" t="s">
        <v>898</v>
      </c>
      <c r="K25" s="196">
        <f>(GIS_inputs!C59/($I$19*$D$36))</f>
        <v>12</v>
      </c>
      <c r="L25" s="123" t="s">
        <v>432</v>
      </c>
      <c r="M25" s="8"/>
      <c r="N25" s="176" t="s">
        <v>904</v>
      </c>
      <c r="O25" s="199">
        <f>$F$19*$I$19*K25</f>
        <v>102434.40000000001</v>
      </c>
      <c r="P25" s="8"/>
      <c r="Q25" s="176" t="s">
        <v>913</v>
      </c>
      <c r="R25" s="206">
        <f>($I$19*$F$23*K25)</f>
        <v>4920</v>
      </c>
      <c r="S25" s="519">
        <f>($F$27*K25)+($I$19*($F$28+$F$29))+($F$30*GIS_inputs!C55)</f>
        <v>3667.1428571428569</v>
      </c>
      <c r="T25" s="519">
        <f>($F$37*GIS_inputs!C55)+($F$36*$I$19*K25)</f>
        <v>306000</v>
      </c>
      <c r="U25" s="520">
        <f>SUM(R25:T25)</f>
        <v>314587.14285714284</v>
      </c>
      <c r="V25" s="8"/>
      <c r="W25" s="176" t="s">
        <v>920</v>
      </c>
      <c r="X25" s="527">
        <f>O25</f>
        <v>102434.40000000001</v>
      </c>
      <c r="Y25" s="527">
        <f>U25</f>
        <v>314587.14285714284</v>
      </c>
      <c r="Z25" s="520">
        <f>X25+Y25</f>
        <v>417021.54285714286</v>
      </c>
      <c r="AA25" s="126"/>
    </row>
    <row r="26" spans="1:27" x14ac:dyDescent="0.35">
      <c r="A26" s="315"/>
      <c r="B26" s="4"/>
      <c r="C26" s="11"/>
      <c r="D26" s="31"/>
      <c r="E26" s="11"/>
      <c r="F26" s="11"/>
      <c r="G26" s="283"/>
      <c r="H26" s="103"/>
      <c r="I26" s="124"/>
      <c r="J26" s="436" t="s">
        <v>899</v>
      </c>
      <c r="K26" s="197">
        <f>(GIS_inputs!C58/($I$18*$D$35))*$I$20</f>
        <v>4</v>
      </c>
      <c r="L26" s="125" t="s">
        <v>432</v>
      </c>
      <c r="M26" s="8"/>
      <c r="N26" s="177" t="s">
        <v>905</v>
      </c>
      <c r="O26" s="200">
        <f>$F$19*$I$18*K26</f>
        <v>34144.800000000003</v>
      </c>
      <c r="P26" s="8"/>
      <c r="Q26" s="177" t="s">
        <v>914</v>
      </c>
      <c r="R26" s="202">
        <f>($I$18*$F$23*K26)</f>
        <v>1640</v>
      </c>
      <c r="S26" s="204">
        <f>($F$27*K26)+($I$19*($F$28+$F$29))+($F$30*GIS_inputs!C55)</f>
        <v>2815.7142857142858</v>
      </c>
      <c r="T26" s="204">
        <f>($F$37*GIS_inputs!C55)+($F$36*$I$19*K26)</f>
        <v>106000</v>
      </c>
      <c r="U26" s="521">
        <f>SUM(R26:T26)</f>
        <v>110455.71428571429</v>
      </c>
      <c r="V26" s="8"/>
      <c r="W26" s="177" t="s">
        <v>922</v>
      </c>
      <c r="X26" s="205">
        <f>O26</f>
        <v>34144.800000000003</v>
      </c>
      <c r="Y26" s="205">
        <f>U26</f>
        <v>110455.71428571429</v>
      </c>
      <c r="Z26" s="521">
        <f>X26+Y26</f>
        <v>144600.51428571431</v>
      </c>
      <c r="AA26" s="126"/>
    </row>
    <row r="27" spans="1:27" x14ac:dyDescent="0.35">
      <c r="A27" s="428" t="s">
        <v>364</v>
      </c>
      <c r="B27" s="221">
        <v>745</v>
      </c>
      <c r="C27" s="11" t="s">
        <v>163</v>
      </c>
      <c r="D27" s="220">
        <v>1</v>
      </c>
      <c r="E27" s="11" t="s">
        <v>894</v>
      </c>
      <c r="F27" s="114">
        <f>D27*B27/7</f>
        <v>106.42857142857143</v>
      </c>
      <c r="G27" s="303" t="s">
        <v>149</v>
      </c>
      <c r="H27" s="103"/>
      <c r="I27" s="124"/>
      <c r="J27" s="124"/>
      <c r="K27" s="193"/>
      <c r="L27" s="126"/>
      <c r="M27" s="8"/>
      <c r="N27" s="177"/>
      <c r="O27" s="271"/>
      <c r="P27" s="8"/>
      <c r="Q27" s="124"/>
      <c r="R27" s="188"/>
      <c r="S27" s="189"/>
      <c r="T27" s="8"/>
      <c r="U27" s="126"/>
      <c r="V27" s="8"/>
      <c r="W27" s="190"/>
      <c r="X27" s="183"/>
      <c r="Y27" s="9"/>
      <c r="Z27" s="126"/>
      <c r="AA27" s="126"/>
    </row>
    <row r="28" spans="1:27" x14ac:dyDescent="0.35">
      <c r="A28" s="341" t="s">
        <v>889</v>
      </c>
      <c r="B28" s="234">
        <v>300</v>
      </c>
      <c r="C28" s="38" t="s">
        <v>10</v>
      </c>
      <c r="D28" s="230">
        <v>1</v>
      </c>
      <c r="E28" s="60" t="s">
        <v>894</v>
      </c>
      <c r="F28" s="115">
        <f>D28*B28</f>
        <v>300</v>
      </c>
      <c r="G28" s="342" t="s">
        <v>376</v>
      </c>
      <c r="H28" s="103"/>
      <c r="I28" s="124"/>
      <c r="J28" s="177" t="s">
        <v>900</v>
      </c>
      <c r="K28" s="197">
        <f>(GIS_inputs!C130/($I$19*$D$36))</f>
        <v>16</v>
      </c>
      <c r="L28" s="125" t="s">
        <v>432</v>
      </c>
      <c r="M28" s="8"/>
      <c r="N28" s="177" t="s">
        <v>906</v>
      </c>
      <c r="O28" s="200">
        <f>$F$19*$I$19*K28</f>
        <v>136579.20000000001</v>
      </c>
      <c r="P28" s="8"/>
      <c r="Q28" s="177" t="s">
        <v>915</v>
      </c>
      <c r="R28" s="204">
        <f>($I$19*$F$23*K28)</f>
        <v>6560</v>
      </c>
      <c r="S28" s="204">
        <f>($F$27*K28)+($I$19*($F$28+$F$29))+($F$30*GIS_inputs!C126)</f>
        <v>4222.8571428571431</v>
      </c>
      <c r="T28" s="204">
        <f>($F$37*GIS_inputs!C126)+($F$36*$I$19*K28)</f>
        <v>408000</v>
      </c>
      <c r="U28" s="521">
        <f>SUM(R28:T28)</f>
        <v>418782.85714285716</v>
      </c>
      <c r="V28" s="8"/>
      <c r="W28" s="177" t="s">
        <v>921</v>
      </c>
      <c r="X28" s="205">
        <f>O28</f>
        <v>136579.20000000001</v>
      </c>
      <c r="Y28" s="205">
        <f>U28</f>
        <v>418782.85714285716</v>
      </c>
      <c r="Z28" s="521">
        <f t="shared" ref="Z28:Z32" si="1">X28+Y28</f>
        <v>555362.05714285723</v>
      </c>
      <c r="AA28" s="126"/>
    </row>
    <row r="29" spans="1:27" x14ac:dyDescent="0.35">
      <c r="A29" s="341" t="s">
        <v>43</v>
      </c>
      <c r="B29" s="234">
        <v>100</v>
      </c>
      <c r="C29" s="38" t="s">
        <v>10</v>
      </c>
      <c r="D29" s="230">
        <v>1</v>
      </c>
      <c r="E29" s="60" t="s">
        <v>894</v>
      </c>
      <c r="F29" s="115">
        <f>D29*B29</f>
        <v>100</v>
      </c>
      <c r="G29" s="342" t="s">
        <v>376</v>
      </c>
      <c r="H29" s="103"/>
      <c r="I29" s="124"/>
      <c r="J29" s="436" t="s">
        <v>901</v>
      </c>
      <c r="K29" s="197">
        <f>(GIS_inputs!C129/($I$18*$D$35))*$I$20</f>
        <v>6.25</v>
      </c>
      <c r="L29" s="125" t="s">
        <v>432</v>
      </c>
      <c r="M29" s="8"/>
      <c r="N29" s="177" t="s">
        <v>907</v>
      </c>
      <c r="O29" s="200">
        <f>$F$19*$I$18*K29</f>
        <v>53351.250000000007</v>
      </c>
      <c r="P29" s="8"/>
      <c r="Q29" s="177" t="s">
        <v>916</v>
      </c>
      <c r="R29" s="202">
        <f>($I$18*$F$23*K29)</f>
        <v>2562.5</v>
      </c>
      <c r="S29" s="204">
        <f>($F$27*K29)+($I$19*($F$28+$F$29))+($F$30*GIS_inputs!C126)</f>
        <v>3185.1785714285716</v>
      </c>
      <c r="T29" s="204">
        <f>($F$37*GIS_inputs!C126)+($F$36*$I$19*K29)</f>
        <v>164250</v>
      </c>
      <c r="U29" s="521">
        <f>SUM(R29:T29)</f>
        <v>169997.67857142858</v>
      </c>
      <c r="V29" s="8"/>
      <c r="W29" s="177" t="s">
        <v>923</v>
      </c>
      <c r="X29" s="205">
        <f>O29</f>
        <v>53351.250000000007</v>
      </c>
      <c r="Y29" s="205">
        <f>U29</f>
        <v>169997.67857142858</v>
      </c>
      <c r="Z29" s="521">
        <f t="shared" si="1"/>
        <v>223348.92857142858</v>
      </c>
      <c r="AA29" s="126"/>
    </row>
    <row r="30" spans="1:27" x14ac:dyDescent="0.35">
      <c r="A30" s="341" t="s">
        <v>47</v>
      </c>
      <c r="B30" s="234">
        <v>130</v>
      </c>
      <c r="C30" s="38" t="s">
        <v>10</v>
      </c>
      <c r="D30" s="230">
        <v>1</v>
      </c>
      <c r="E30" s="60" t="s">
        <v>1197</v>
      </c>
      <c r="F30" s="115">
        <f>D30*B30</f>
        <v>130</v>
      </c>
      <c r="G30" s="342" t="s">
        <v>631</v>
      </c>
      <c r="H30" s="103"/>
      <c r="I30" s="124"/>
      <c r="J30" s="124"/>
      <c r="K30" s="193"/>
      <c r="L30" s="126"/>
      <c r="M30" s="8"/>
      <c r="N30" s="177"/>
      <c r="O30" s="271"/>
      <c r="P30" s="8"/>
      <c r="Q30" s="124"/>
      <c r="R30" s="188"/>
      <c r="S30" s="189"/>
      <c r="T30" s="8"/>
      <c r="U30" s="126"/>
      <c r="V30" s="8"/>
      <c r="W30" s="124"/>
      <c r="X30" s="184"/>
      <c r="Y30" s="8"/>
      <c r="Z30" s="126"/>
      <c r="AA30" s="126"/>
    </row>
    <row r="31" spans="1:27" ht="15" thickBot="1" x14ac:dyDescent="0.4">
      <c r="A31" s="429"/>
      <c r="B31" s="430"/>
      <c r="C31" s="431"/>
      <c r="D31" s="431"/>
      <c r="E31" s="431"/>
      <c r="F31" s="431"/>
      <c r="G31" s="432"/>
      <c r="H31" s="103"/>
      <c r="I31" s="124"/>
      <c r="J31" s="177" t="s">
        <v>902</v>
      </c>
      <c r="K31" s="197">
        <f>K28+K25</f>
        <v>28</v>
      </c>
      <c r="L31" s="125" t="s">
        <v>432</v>
      </c>
      <c r="M31" s="8"/>
      <c r="N31" s="177" t="s">
        <v>908</v>
      </c>
      <c r="O31" s="200">
        <f>O28+O25</f>
        <v>239013.60000000003</v>
      </c>
      <c r="P31" s="8"/>
      <c r="Q31" s="177" t="s">
        <v>918</v>
      </c>
      <c r="R31" s="204">
        <f t="shared" ref="R31:T32" si="2">R28+R25</f>
        <v>11480</v>
      </c>
      <c r="S31" s="204">
        <f t="shared" si="2"/>
        <v>7890</v>
      </c>
      <c r="T31" s="204">
        <f t="shared" si="2"/>
        <v>714000</v>
      </c>
      <c r="U31" s="521">
        <f>SUM(R31:T31)</f>
        <v>733370</v>
      </c>
      <c r="V31" s="8"/>
      <c r="W31" s="177" t="s">
        <v>924</v>
      </c>
      <c r="X31" s="205">
        <f>O31</f>
        <v>239013.60000000003</v>
      </c>
      <c r="Y31" s="205">
        <f>U31</f>
        <v>733370</v>
      </c>
      <c r="Z31" s="521">
        <f t="shared" si="1"/>
        <v>972383.60000000009</v>
      </c>
      <c r="AA31" s="126"/>
    </row>
    <row r="32" spans="1:27" ht="15" thickBot="1" x14ac:dyDescent="0.4">
      <c r="A32" s="308"/>
      <c r="B32" s="319"/>
      <c r="C32" s="293"/>
      <c r="D32" s="293"/>
      <c r="E32" s="293"/>
      <c r="F32" s="293"/>
      <c r="G32" s="297"/>
      <c r="H32" s="435"/>
      <c r="I32" s="124"/>
      <c r="J32" s="177" t="s">
        <v>903</v>
      </c>
      <c r="K32" s="197">
        <f>K29+K26</f>
        <v>10.25</v>
      </c>
      <c r="L32" s="125" t="s">
        <v>432</v>
      </c>
      <c r="M32" s="8"/>
      <c r="N32" s="177" t="s">
        <v>909</v>
      </c>
      <c r="O32" s="200">
        <f>O29+O26</f>
        <v>87496.050000000017</v>
      </c>
      <c r="P32" s="8"/>
      <c r="Q32" s="177" t="s">
        <v>917</v>
      </c>
      <c r="R32" s="204">
        <f t="shared" si="2"/>
        <v>4202.5</v>
      </c>
      <c r="S32" s="204">
        <f t="shared" si="2"/>
        <v>6000.8928571428569</v>
      </c>
      <c r="T32" s="204">
        <f t="shared" si="2"/>
        <v>270250</v>
      </c>
      <c r="U32" s="521">
        <f>SUM(R32:T32)</f>
        <v>280453.39285714284</v>
      </c>
      <c r="V32" s="8"/>
      <c r="W32" s="177" t="s">
        <v>925</v>
      </c>
      <c r="X32" s="205">
        <f>O32</f>
        <v>87496.050000000017</v>
      </c>
      <c r="Y32" s="205">
        <f>U32</f>
        <v>280453.39285714284</v>
      </c>
      <c r="Z32" s="521">
        <f t="shared" si="1"/>
        <v>367949.44285714289</v>
      </c>
      <c r="AA32" s="126"/>
    </row>
    <row r="33" spans="1:27" x14ac:dyDescent="0.35">
      <c r="A33" s="277" t="s">
        <v>31</v>
      </c>
      <c r="B33" s="278" t="s">
        <v>28</v>
      </c>
      <c r="C33" s="278" t="s">
        <v>150</v>
      </c>
      <c r="D33" s="278" t="s">
        <v>65</v>
      </c>
      <c r="E33" s="337" t="s">
        <v>150</v>
      </c>
      <c r="F33" s="338" t="s">
        <v>30</v>
      </c>
      <c r="G33" s="280" t="s">
        <v>150</v>
      </c>
      <c r="H33" s="103"/>
      <c r="I33" s="124"/>
      <c r="J33" s="124"/>
      <c r="K33" s="193"/>
      <c r="L33" s="126"/>
      <c r="M33" s="8"/>
      <c r="N33" s="177"/>
      <c r="O33" s="271"/>
      <c r="P33" s="8"/>
      <c r="Q33" s="177"/>
      <c r="R33" s="185"/>
      <c r="S33" s="186"/>
      <c r="T33" s="185"/>
      <c r="U33" s="522"/>
      <c r="V33" s="8"/>
      <c r="W33" s="177"/>
      <c r="X33" s="182"/>
      <c r="Y33" s="2"/>
      <c r="Z33" s="125"/>
      <c r="AA33" s="126"/>
    </row>
    <row r="34" spans="1:27" ht="15" thickBot="1" x14ac:dyDescent="0.4">
      <c r="A34" s="339"/>
      <c r="B34" s="73"/>
      <c r="C34" s="73"/>
      <c r="D34" s="73"/>
      <c r="E34" s="81"/>
      <c r="F34" s="110"/>
      <c r="G34" s="334"/>
      <c r="H34" s="103"/>
      <c r="I34" s="124"/>
      <c r="J34" s="178" t="s">
        <v>910</v>
      </c>
      <c r="K34" s="198">
        <f>SUM(K31:K32)</f>
        <v>38.25</v>
      </c>
      <c r="L34" s="129" t="s">
        <v>432</v>
      </c>
      <c r="M34" s="8"/>
      <c r="N34" s="178" t="s">
        <v>911</v>
      </c>
      <c r="O34" s="201">
        <f>SUM(O31:O32)</f>
        <v>326509.65000000002</v>
      </c>
      <c r="P34" s="8"/>
      <c r="Q34" s="395" t="s">
        <v>919</v>
      </c>
      <c r="R34" s="523">
        <f>SUM(R31:R32)</f>
        <v>15682.5</v>
      </c>
      <c r="S34" s="524">
        <f>SUM(S31:S32)</f>
        <v>13890.892857142857</v>
      </c>
      <c r="T34" s="525">
        <f>SUM(T31:T32)</f>
        <v>984250</v>
      </c>
      <c r="U34" s="526">
        <f>SUM(R34:T34)</f>
        <v>1013823.3928571428</v>
      </c>
      <c r="V34" s="8"/>
      <c r="W34" s="395" t="s">
        <v>926</v>
      </c>
      <c r="X34" s="528">
        <f>SUM(X31:X32)</f>
        <v>326509.65000000002</v>
      </c>
      <c r="Y34" s="528">
        <f>SUM(Y31:Y32)</f>
        <v>1013823.3928571428</v>
      </c>
      <c r="Z34" s="529">
        <f>SUM(Z31:Z32)</f>
        <v>1340333.0428571431</v>
      </c>
      <c r="AA34" s="126"/>
    </row>
    <row r="35" spans="1:27" ht="29" x14ac:dyDescent="0.35">
      <c r="A35" s="340" t="s">
        <v>891</v>
      </c>
      <c r="B35" s="234">
        <v>1000</v>
      </c>
      <c r="C35" s="38" t="s">
        <v>61</v>
      </c>
      <c r="D35" s="230">
        <v>4</v>
      </c>
      <c r="E35" s="38" t="s">
        <v>1193</v>
      </c>
      <c r="F35" s="115">
        <f>B35</f>
        <v>1000</v>
      </c>
      <c r="G35" s="303" t="s">
        <v>895</v>
      </c>
      <c r="I35" s="124"/>
      <c r="J35" s="9"/>
      <c r="K35" s="9"/>
      <c r="L35" s="9"/>
      <c r="M35" s="8"/>
      <c r="N35" s="8"/>
      <c r="O35" s="8"/>
      <c r="P35" s="8"/>
      <c r="Q35" s="8"/>
      <c r="R35" s="8"/>
      <c r="S35" s="8"/>
      <c r="T35" s="8"/>
      <c r="U35" s="8"/>
      <c r="V35" s="8"/>
      <c r="W35" s="8"/>
      <c r="X35" s="8"/>
      <c r="Y35" s="8"/>
      <c r="Z35" s="8"/>
      <c r="AA35" s="126"/>
    </row>
    <row r="36" spans="1:27" ht="29" x14ac:dyDescent="0.35">
      <c r="A36" s="340" t="s">
        <v>890</v>
      </c>
      <c r="B36" s="234">
        <v>1</v>
      </c>
      <c r="C36" s="38" t="s">
        <v>44</v>
      </c>
      <c r="D36" s="230">
        <v>5000</v>
      </c>
      <c r="E36" s="38" t="s">
        <v>893</v>
      </c>
      <c r="F36" s="115">
        <f>B36*D36</f>
        <v>5000</v>
      </c>
      <c r="G36" s="303" t="s">
        <v>895</v>
      </c>
      <c r="H36" s="103"/>
      <c r="I36" s="124"/>
      <c r="J36" s="9"/>
      <c r="K36" s="9"/>
      <c r="L36" s="9"/>
      <c r="M36" s="8"/>
      <c r="N36" s="9"/>
      <c r="O36" s="9"/>
      <c r="P36" s="8"/>
      <c r="Q36" s="8"/>
      <c r="R36" s="8"/>
      <c r="S36" s="8"/>
      <c r="T36" s="8"/>
      <c r="U36" s="8"/>
      <c r="V36" s="184"/>
      <c r="W36" s="8"/>
      <c r="X36" s="8"/>
      <c r="Y36" s="8"/>
      <c r="Z36" s="8"/>
      <c r="AA36" s="126"/>
    </row>
    <row r="37" spans="1:27" ht="29.5" thickBot="1" x14ac:dyDescent="0.4">
      <c r="A37" s="433" t="s">
        <v>888</v>
      </c>
      <c r="B37" s="343">
        <v>1</v>
      </c>
      <c r="C37" s="344" t="s">
        <v>44</v>
      </c>
      <c r="D37" s="287">
        <v>2000</v>
      </c>
      <c r="E37" s="344" t="s">
        <v>892</v>
      </c>
      <c r="F37" s="318">
        <f>B37*D37</f>
        <v>2000</v>
      </c>
      <c r="G37" s="290" t="s">
        <v>631</v>
      </c>
      <c r="H37" s="103"/>
      <c r="I37" s="124"/>
      <c r="J37" s="9"/>
      <c r="K37" s="250"/>
      <c r="L37" s="9"/>
      <c r="M37" s="8"/>
      <c r="N37" s="8"/>
      <c r="O37" s="192"/>
      <c r="P37" s="8"/>
      <c r="Q37" s="8"/>
      <c r="R37" s="8"/>
      <c r="S37" s="8"/>
      <c r="T37" s="8"/>
      <c r="U37" s="8"/>
      <c r="V37" s="8"/>
      <c r="W37" s="8"/>
      <c r="X37" s="8"/>
      <c r="Y37" s="8"/>
      <c r="Z37" s="8"/>
      <c r="AA37" s="126"/>
    </row>
    <row r="38" spans="1:27" x14ac:dyDescent="0.35">
      <c r="I38" s="124"/>
      <c r="J38" s="9"/>
      <c r="K38" s="9"/>
      <c r="L38" s="9"/>
      <c r="M38" s="8"/>
      <c r="N38" s="8"/>
      <c r="O38" s="192"/>
      <c r="P38" s="8"/>
      <c r="Q38" s="8"/>
      <c r="R38" s="8"/>
      <c r="S38" s="8"/>
      <c r="T38" s="8"/>
      <c r="U38" s="8"/>
      <c r="V38" s="8"/>
      <c r="W38" s="8"/>
      <c r="X38" s="8"/>
      <c r="Y38" s="8"/>
      <c r="Z38" s="8"/>
      <c r="AA38" s="126"/>
    </row>
    <row r="39" spans="1:27" x14ac:dyDescent="0.35">
      <c r="I39" s="124"/>
      <c r="J39" s="8"/>
      <c r="K39" s="8"/>
      <c r="L39" s="8"/>
      <c r="M39" s="8"/>
      <c r="N39" s="8"/>
      <c r="O39" s="8"/>
      <c r="P39" s="8"/>
      <c r="Q39" s="8" t="s">
        <v>1196</v>
      </c>
      <c r="R39" s="8"/>
      <c r="S39" s="8"/>
      <c r="T39" s="8"/>
      <c r="U39" s="8"/>
      <c r="V39" s="8"/>
      <c r="W39" s="8"/>
      <c r="X39" s="8"/>
      <c r="Y39" s="8"/>
      <c r="Z39" s="8"/>
      <c r="AA39" s="126"/>
    </row>
    <row r="40" spans="1:27" ht="15" thickBot="1" x14ac:dyDescent="0.4">
      <c r="I40" s="127"/>
      <c r="J40" s="133"/>
      <c r="K40" s="133"/>
      <c r="L40" s="133"/>
      <c r="M40" s="133"/>
      <c r="N40" s="133"/>
      <c r="O40" s="133"/>
      <c r="P40" s="133"/>
      <c r="Q40" s="133"/>
      <c r="R40" s="133"/>
      <c r="S40" s="133"/>
      <c r="T40" s="133"/>
      <c r="U40" s="133"/>
      <c r="V40" s="133"/>
      <c r="W40" s="133"/>
      <c r="X40" s="133"/>
      <c r="Y40" s="133"/>
      <c r="Z40" s="133"/>
      <c r="AA40" s="134"/>
    </row>
    <row r="41" spans="1:27" ht="72.5" x14ac:dyDescent="0.35">
      <c r="A41" s="12" t="s">
        <v>881</v>
      </c>
    </row>
  </sheetData>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92"/>
  <sheetViews>
    <sheetView workbookViewId="0"/>
  </sheetViews>
  <sheetFormatPr defaultRowHeight="14.5" x14ac:dyDescent="0.35"/>
  <cols>
    <col min="1" max="1" width="40.54296875" customWidth="1"/>
    <col min="2" max="2" width="15.90625" customWidth="1"/>
    <col min="3" max="3" width="21.54296875" customWidth="1"/>
    <col min="5" max="5" width="25.453125" customWidth="1"/>
    <col min="6" max="6" width="13.90625" customWidth="1"/>
    <col min="7" max="7" width="23.54296875" customWidth="1"/>
    <col min="8" max="8" width="10" customWidth="1"/>
    <col min="10" max="10" width="40" customWidth="1"/>
    <col min="11" max="11" width="12.453125" customWidth="1"/>
    <col min="13" max="13" width="7.36328125" customWidth="1"/>
    <col min="14" max="14" width="43.36328125" customWidth="1"/>
    <col min="15" max="15" width="16.54296875" customWidth="1"/>
    <col min="16" max="16" width="7.453125" customWidth="1"/>
    <col min="17" max="17" width="45.08984375" customWidth="1"/>
    <col min="18" max="18" width="17.08984375" customWidth="1"/>
    <col min="19" max="19" width="41.6328125" customWidth="1"/>
    <col min="20" max="20" width="17.08984375" customWidth="1"/>
    <col min="21" max="21" width="16.36328125" customWidth="1"/>
    <col min="22" max="22" width="8.54296875" customWidth="1"/>
    <col min="23" max="23" width="30.6328125" customWidth="1"/>
    <col min="24" max="24" width="16.90625" customWidth="1"/>
    <col min="25" max="25" width="19.54296875" customWidth="1"/>
    <col min="26" max="26" width="20.6328125" customWidth="1"/>
    <col min="27" max="27" width="20.453125" customWidth="1"/>
    <col min="28" max="28" width="17.6328125" customWidth="1"/>
    <col min="29" max="29" width="17.453125" customWidth="1"/>
    <col min="38" max="38" width="56.6328125" customWidth="1"/>
    <col min="51" max="51" width="15.6328125" customWidth="1"/>
    <col min="52" max="52" width="9.90625" customWidth="1"/>
  </cols>
  <sheetData>
    <row r="1" spans="1:58" ht="21.5" thickBot="1" x14ac:dyDescent="0.55000000000000004">
      <c r="A1" s="228" t="s">
        <v>640</v>
      </c>
      <c r="B1" s="229"/>
      <c r="AI1" t="s">
        <v>1121</v>
      </c>
    </row>
    <row r="2" spans="1:58" ht="21" x14ac:dyDescent="0.5">
      <c r="A2" s="227"/>
      <c r="AI2" t="s">
        <v>1146</v>
      </c>
    </row>
    <row r="3" spans="1:58" x14ac:dyDescent="0.35">
      <c r="A3" t="s">
        <v>642</v>
      </c>
      <c r="AI3" t="s">
        <v>1122</v>
      </c>
    </row>
    <row r="4" spans="1:58" x14ac:dyDescent="0.35">
      <c r="A4" t="s">
        <v>641</v>
      </c>
      <c r="AI4" t="s">
        <v>1123</v>
      </c>
    </row>
    <row r="5" spans="1:58" x14ac:dyDescent="0.35">
      <c r="A5" t="s">
        <v>729</v>
      </c>
      <c r="AI5" t="s">
        <v>1124</v>
      </c>
      <c r="AV5" t="s">
        <v>1125</v>
      </c>
    </row>
    <row r="6" spans="1:58" ht="15" thickBot="1" x14ac:dyDescent="0.4">
      <c r="AI6" t="s">
        <v>1126</v>
      </c>
    </row>
    <row r="7" spans="1:58" ht="43.5" x14ac:dyDescent="0.35">
      <c r="A7" s="277" t="s">
        <v>3</v>
      </c>
      <c r="B7" s="278" t="s">
        <v>28</v>
      </c>
      <c r="C7" s="278" t="s">
        <v>150</v>
      </c>
      <c r="D7" s="278" t="s">
        <v>65</v>
      </c>
      <c r="E7" s="278" t="s">
        <v>150</v>
      </c>
      <c r="F7" s="279" t="s">
        <v>30</v>
      </c>
      <c r="G7" s="280" t="s">
        <v>150</v>
      </c>
      <c r="H7" s="8"/>
      <c r="AI7" t="s">
        <v>1127</v>
      </c>
      <c r="AV7" s="471" t="s">
        <v>1128</v>
      </c>
      <c r="AW7" s="463">
        <v>0.5</v>
      </c>
      <c r="AX7" s="463">
        <v>0.75</v>
      </c>
      <c r="AY7" s="463">
        <v>0.9</v>
      </c>
      <c r="AZ7" s="463">
        <v>0.95</v>
      </c>
      <c r="BA7" s="464">
        <v>0.97499999999999998</v>
      </c>
      <c r="BB7" s="463">
        <v>0.99</v>
      </c>
      <c r="BC7" s="464">
        <v>0.995</v>
      </c>
      <c r="BD7" s="464">
        <v>0.999</v>
      </c>
    </row>
    <row r="8" spans="1:58" x14ac:dyDescent="0.35">
      <c r="A8" s="281"/>
      <c r="B8" s="1"/>
      <c r="C8" s="11"/>
      <c r="D8" s="65"/>
      <c r="E8" s="15"/>
      <c r="F8" s="28"/>
      <c r="G8" s="283"/>
      <c r="H8" s="8"/>
      <c r="I8" s="232"/>
      <c r="J8" t="s">
        <v>34</v>
      </c>
      <c r="AI8" t="s">
        <v>1129</v>
      </c>
      <c r="AV8" s="11" t="s">
        <v>1130</v>
      </c>
      <c r="AW8" s="465">
        <v>0.30099999999999999</v>
      </c>
      <c r="AX8" s="465">
        <v>0.60199999999999998</v>
      </c>
      <c r="AY8" s="465">
        <v>1</v>
      </c>
      <c r="AZ8" s="465">
        <v>1.3009999999999999</v>
      </c>
      <c r="BA8" s="465">
        <v>1.6020000000000001</v>
      </c>
      <c r="BB8" s="465">
        <v>2</v>
      </c>
      <c r="BC8" s="465">
        <v>2.2999999999999998</v>
      </c>
      <c r="BD8" s="465">
        <v>2.996</v>
      </c>
    </row>
    <row r="9" spans="1:58" x14ac:dyDescent="0.35">
      <c r="A9" s="298" t="s">
        <v>1092</v>
      </c>
      <c r="B9" s="221">
        <v>11.87</v>
      </c>
      <c r="C9" s="11" t="s">
        <v>155</v>
      </c>
      <c r="D9" s="230">
        <v>1</v>
      </c>
      <c r="E9" s="65" t="s">
        <v>116</v>
      </c>
      <c r="F9" s="27">
        <f>D9*B9*$D$12</f>
        <v>142.44</v>
      </c>
      <c r="G9" s="283" t="s">
        <v>149</v>
      </c>
      <c r="H9" s="103"/>
      <c r="AI9" t="s">
        <v>1131</v>
      </c>
    </row>
    <row r="10" spans="1:58" x14ac:dyDescent="0.35">
      <c r="A10" s="298" t="s">
        <v>6</v>
      </c>
      <c r="B10" s="221">
        <v>17.510000000000002</v>
      </c>
      <c r="C10" s="11" t="s">
        <v>155</v>
      </c>
      <c r="D10" s="230">
        <v>1</v>
      </c>
      <c r="E10" s="65" t="s">
        <v>116</v>
      </c>
      <c r="F10" s="27">
        <f>D10*B10*$D$12</f>
        <v>210.12</v>
      </c>
      <c r="G10" s="283" t="s">
        <v>149</v>
      </c>
      <c r="H10" s="8"/>
      <c r="I10" s="25"/>
      <c r="J10" t="s">
        <v>727</v>
      </c>
      <c r="AI10" t="s">
        <v>1132</v>
      </c>
    </row>
    <row r="11" spans="1:58" x14ac:dyDescent="0.35">
      <c r="A11" s="299" t="s">
        <v>1093</v>
      </c>
      <c r="B11" s="221">
        <v>21.62</v>
      </c>
      <c r="C11" s="11" t="s">
        <v>155</v>
      </c>
      <c r="D11" s="230">
        <v>1</v>
      </c>
      <c r="E11" s="65" t="s">
        <v>116</v>
      </c>
      <c r="F11" s="27">
        <f>D11*B11*$D$12</f>
        <v>259.44</v>
      </c>
      <c r="G11" s="283" t="s">
        <v>149</v>
      </c>
      <c r="H11" s="8"/>
      <c r="AI11" t="s">
        <v>1133</v>
      </c>
      <c r="AV11" t="s">
        <v>1134</v>
      </c>
    </row>
    <row r="12" spans="1:58" x14ac:dyDescent="0.35">
      <c r="A12" s="301" t="s">
        <v>132</v>
      </c>
      <c r="B12" s="5"/>
      <c r="C12" s="11"/>
      <c r="D12" s="230">
        <v>12</v>
      </c>
      <c r="E12" s="65" t="s">
        <v>118</v>
      </c>
      <c r="F12" s="111">
        <f>D12</f>
        <v>12</v>
      </c>
      <c r="G12" s="302" t="s">
        <v>118</v>
      </c>
      <c r="H12" s="103"/>
      <c r="I12" s="195"/>
      <c r="J12" t="s">
        <v>66</v>
      </c>
      <c r="AI12" t="s">
        <v>1135</v>
      </c>
    </row>
    <row r="13" spans="1:58" ht="15" thickBot="1" x14ac:dyDescent="0.4">
      <c r="A13" s="301" t="s">
        <v>162</v>
      </c>
      <c r="B13" s="221">
        <v>123</v>
      </c>
      <c r="C13" s="11" t="s">
        <v>157</v>
      </c>
      <c r="D13" s="230">
        <f>SUM(D9:D11)</f>
        <v>3</v>
      </c>
      <c r="E13" s="65" t="s">
        <v>116</v>
      </c>
      <c r="F13" s="115">
        <f>D13*B13</f>
        <v>369</v>
      </c>
      <c r="G13" s="303" t="s">
        <v>433</v>
      </c>
      <c r="H13" s="103"/>
      <c r="AV13" s="466" t="s">
        <v>1136</v>
      </c>
      <c r="AW13" s="467">
        <v>0</v>
      </c>
      <c r="AX13" s="462">
        <v>0.01</v>
      </c>
      <c r="AY13" s="462">
        <v>0.02</v>
      </c>
      <c r="AZ13" s="462">
        <v>0.03</v>
      </c>
      <c r="BA13" s="462">
        <v>0.04</v>
      </c>
      <c r="BB13" s="462">
        <v>0.05</v>
      </c>
      <c r="BC13" s="462">
        <v>0.06</v>
      </c>
      <c r="BD13" s="462">
        <v>7.0000000000000007E-2</v>
      </c>
      <c r="BE13" s="462">
        <v>0.08</v>
      </c>
      <c r="BF13" s="462">
        <v>0.09</v>
      </c>
    </row>
    <row r="14" spans="1:58" x14ac:dyDescent="0.35">
      <c r="A14" s="281"/>
      <c r="B14" s="5"/>
      <c r="C14" s="11"/>
      <c r="D14" s="61"/>
      <c r="E14" s="15"/>
      <c r="F14" s="28"/>
      <c r="G14" s="283"/>
      <c r="H14" s="8"/>
      <c r="I14" s="137" t="s">
        <v>1097</v>
      </c>
      <c r="J14" s="131"/>
      <c r="K14" s="131"/>
      <c r="L14" s="131"/>
      <c r="M14" s="131"/>
      <c r="N14" s="131"/>
      <c r="O14" s="131"/>
      <c r="P14" s="131"/>
      <c r="Q14" s="131"/>
      <c r="R14" s="131"/>
      <c r="S14" s="131"/>
      <c r="T14" s="131"/>
      <c r="U14" s="131"/>
      <c r="V14" s="131"/>
      <c r="W14" s="131"/>
      <c r="X14" s="131"/>
      <c r="Y14" s="131"/>
      <c r="Z14" s="131"/>
      <c r="AA14" s="132"/>
      <c r="AI14" t="s">
        <v>1088</v>
      </c>
      <c r="AV14" s="468">
        <v>0</v>
      </c>
      <c r="AW14" s="469" t="s">
        <v>1137</v>
      </c>
      <c r="AX14" s="469">
        <v>229.1053</v>
      </c>
      <c r="AY14" s="469">
        <v>113.97410000000001</v>
      </c>
      <c r="AZ14" s="469">
        <v>75.595699999999994</v>
      </c>
      <c r="BA14" s="469">
        <v>56.405500000000004</v>
      </c>
      <c r="BB14" s="469">
        <v>44.890599999999999</v>
      </c>
      <c r="BC14" s="469">
        <v>37.213299999999997</v>
      </c>
      <c r="BD14" s="469">
        <v>31.728899999999999</v>
      </c>
      <c r="BE14" s="469">
        <v>27.614999999999998</v>
      </c>
      <c r="BF14" s="469">
        <v>24.414899999999999</v>
      </c>
    </row>
    <row r="15" spans="1:58" ht="15" thickBot="1" x14ac:dyDescent="0.4">
      <c r="A15" s="304" t="s">
        <v>8</v>
      </c>
      <c r="B15" s="305"/>
      <c r="C15" s="306"/>
      <c r="D15" s="286"/>
      <c r="E15" s="307"/>
      <c r="F15" s="318">
        <f>SUM(F9:F11)+F13</f>
        <v>981</v>
      </c>
      <c r="G15" s="290" t="s">
        <v>433</v>
      </c>
      <c r="H15" s="8"/>
      <c r="I15" s="124"/>
      <c r="J15" s="8"/>
      <c r="K15" s="8"/>
      <c r="L15" s="8"/>
      <c r="M15" s="8"/>
      <c r="N15" s="8"/>
      <c r="O15" s="8"/>
      <c r="P15" s="8"/>
      <c r="Q15" s="8"/>
      <c r="R15" s="8"/>
      <c r="S15" s="8"/>
      <c r="T15" s="8"/>
      <c r="U15" s="8"/>
      <c r="V15" s="8"/>
      <c r="W15" s="8"/>
      <c r="X15" s="8"/>
      <c r="Y15" s="8"/>
      <c r="Z15" s="8"/>
      <c r="AA15" s="126"/>
      <c r="AI15" t="s">
        <v>1138</v>
      </c>
      <c r="AV15" s="468">
        <v>0.1</v>
      </c>
      <c r="AW15" s="469">
        <v>21.854299999999999</v>
      </c>
      <c r="AX15" s="469">
        <v>19.758900000000001</v>
      </c>
      <c r="AY15" s="469">
        <v>18.0124</v>
      </c>
      <c r="AZ15" s="469">
        <v>16.534199999999998</v>
      </c>
      <c r="BA15" s="469">
        <v>15.2668</v>
      </c>
      <c r="BB15" s="469">
        <v>14.168100000000001</v>
      </c>
      <c r="BC15" s="469">
        <v>13.2064</v>
      </c>
      <c r="BD15" s="469">
        <v>12.3576</v>
      </c>
      <c r="BE15" s="469">
        <v>11.6028</v>
      </c>
      <c r="BF15" s="469">
        <v>10.927199999999999</v>
      </c>
    </row>
    <row r="16" spans="1:58" ht="16" thickBot="1" x14ac:dyDescent="0.4">
      <c r="A16" s="291"/>
      <c r="B16" s="292"/>
      <c r="C16" s="293"/>
      <c r="D16" s="294"/>
      <c r="E16" s="295"/>
      <c r="F16" s="296"/>
      <c r="G16" s="297"/>
      <c r="H16" s="8"/>
      <c r="I16" s="233">
        <v>10</v>
      </c>
      <c r="J16" s="226" t="s">
        <v>1098</v>
      </c>
      <c r="K16" s="8"/>
      <c r="L16" s="8"/>
      <c r="M16" s="8"/>
      <c r="N16" s="8"/>
      <c r="O16" s="8"/>
      <c r="P16" s="8"/>
      <c r="Q16" s="8"/>
      <c r="R16" s="8"/>
      <c r="S16" s="8"/>
      <c r="T16" s="8"/>
      <c r="U16" s="8"/>
      <c r="V16" s="8"/>
      <c r="W16" s="8"/>
      <c r="X16" s="8"/>
      <c r="Y16" s="8"/>
      <c r="Z16" s="8"/>
      <c r="AA16" s="126"/>
      <c r="AI16" s="470" t="s">
        <v>1139</v>
      </c>
      <c r="AV16" s="468">
        <v>0.2</v>
      </c>
      <c r="AW16" s="469">
        <v>10.318899999999999</v>
      </c>
      <c r="AX16" s="469">
        <v>9.7682000000000002</v>
      </c>
      <c r="AY16" s="469">
        <v>9.2674000000000003</v>
      </c>
      <c r="AZ16" s="469">
        <v>8.8099000000000007</v>
      </c>
      <c r="BA16" s="469">
        <v>8.3902000000000001</v>
      </c>
      <c r="BB16" s="469">
        <v>8.0038999999999998</v>
      </c>
      <c r="BC16" s="469">
        <v>7.6471</v>
      </c>
      <c r="BD16" s="469">
        <v>7.3164999999999996</v>
      </c>
      <c r="BE16" s="469">
        <v>7.0092999999999996</v>
      </c>
      <c r="BF16" s="469">
        <v>6.7230999999999996</v>
      </c>
    </row>
    <row r="17" spans="1:61" ht="15.5" x14ac:dyDescent="0.35">
      <c r="A17" s="277" t="s">
        <v>601</v>
      </c>
      <c r="B17" s="278" t="s">
        <v>28</v>
      </c>
      <c r="C17" s="278" t="s">
        <v>150</v>
      </c>
      <c r="D17" s="278" t="s">
        <v>65</v>
      </c>
      <c r="E17" s="278" t="s">
        <v>150</v>
      </c>
      <c r="F17" s="279" t="s">
        <v>30</v>
      </c>
      <c r="G17" s="280" t="s">
        <v>150</v>
      </c>
      <c r="H17" s="215"/>
      <c r="I17" s="233">
        <v>6</v>
      </c>
      <c r="J17" s="226" t="s">
        <v>1266</v>
      </c>
      <c r="K17" s="8"/>
      <c r="L17" s="8"/>
      <c r="M17" s="8"/>
      <c r="N17" s="8"/>
      <c r="O17" s="8"/>
      <c r="P17" s="8"/>
      <c r="Q17" s="8"/>
      <c r="R17" s="8"/>
      <c r="S17" s="8"/>
      <c r="T17" s="8"/>
      <c r="U17" s="8"/>
      <c r="V17" s="8"/>
      <c r="W17" s="8"/>
      <c r="X17" s="8"/>
      <c r="Y17" s="8"/>
      <c r="Z17" s="8"/>
      <c r="AA17" s="126"/>
      <c r="AI17" t="s">
        <v>1140</v>
      </c>
      <c r="AV17" s="468">
        <v>0.3</v>
      </c>
      <c r="AW17" s="469">
        <v>6.4557000000000002</v>
      </c>
      <c r="AX17" s="469">
        <v>6.2054</v>
      </c>
      <c r="AY17" s="469">
        <v>5.9705000000000004</v>
      </c>
      <c r="AZ17" s="469">
        <v>5.7496</v>
      </c>
      <c r="BA17" s="469">
        <v>5.5415000000000001</v>
      </c>
      <c r="BB17" s="469">
        <v>5.3451000000000004</v>
      </c>
      <c r="BC17" s="469">
        <v>5.1593999999999998</v>
      </c>
      <c r="BD17" s="469">
        <v>4.9836</v>
      </c>
      <c r="BE17" s="469">
        <v>4.8167999999999997</v>
      </c>
      <c r="BF17" s="469">
        <v>4.6582999999999997</v>
      </c>
    </row>
    <row r="18" spans="1:61" ht="15.5" x14ac:dyDescent="0.35">
      <c r="A18" s="281"/>
      <c r="B18" s="282"/>
      <c r="C18" s="60"/>
      <c r="D18" s="61"/>
      <c r="E18" s="72"/>
      <c r="F18" s="75"/>
      <c r="G18" s="283"/>
      <c r="H18" s="8"/>
      <c r="I18" s="233">
        <v>200</v>
      </c>
      <c r="J18" s="226" t="s">
        <v>1267</v>
      </c>
      <c r="K18" s="8"/>
      <c r="L18" s="8"/>
      <c r="M18" s="8"/>
      <c r="N18" s="8"/>
      <c r="O18" s="8"/>
      <c r="P18" s="8"/>
      <c r="Q18" s="8"/>
      <c r="R18" s="8"/>
      <c r="S18" s="8"/>
      <c r="T18" s="8"/>
      <c r="U18" s="8"/>
      <c r="V18" s="8"/>
      <c r="W18" s="8"/>
      <c r="X18" s="8"/>
      <c r="Y18" s="8"/>
      <c r="Z18" s="8"/>
      <c r="AA18" s="126"/>
      <c r="AI18" t="s">
        <v>1141</v>
      </c>
      <c r="AV18" s="468">
        <v>0.4</v>
      </c>
      <c r="AW18" s="469">
        <v>4.5076000000000001</v>
      </c>
      <c r="AX18" s="469">
        <v>4.3639999999999999</v>
      </c>
      <c r="AY18" s="469">
        <v>4.2270000000000003</v>
      </c>
      <c r="AZ18" s="469">
        <v>4.0963000000000003</v>
      </c>
      <c r="BA18" s="469">
        <v>3.9712000000000001</v>
      </c>
      <c r="BB18" s="469">
        <v>3.8515000000000001</v>
      </c>
      <c r="BC18" s="469">
        <v>3.7368000000000001</v>
      </c>
      <c r="BD18" s="469">
        <v>3.6267999999999998</v>
      </c>
      <c r="BE18" s="469">
        <v>3.5211999999999999</v>
      </c>
      <c r="BF18" s="469">
        <v>3.4196</v>
      </c>
    </row>
    <row r="19" spans="1:61" ht="15.5" x14ac:dyDescent="0.35">
      <c r="A19" s="341" t="s">
        <v>11</v>
      </c>
      <c r="B19" s="231">
        <v>10.25</v>
      </c>
      <c r="C19" s="263" t="s">
        <v>120</v>
      </c>
      <c r="D19" s="230">
        <f>D13</f>
        <v>3</v>
      </c>
      <c r="E19" s="60" t="s">
        <v>156</v>
      </c>
      <c r="F19" s="115">
        <f>D19*B19</f>
        <v>30.75</v>
      </c>
      <c r="G19" s="303" t="s">
        <v>433</v>
      </c>
      <c r="H19" s="8"/>
      <c r="I19" s="507" t="s">
        <v>1173</v>
      </c>
      <c r="J19" s="226" t="s">
        <v>1174</v>
      </c>
      <c r="K19" s="8"/>
      <c r="L19" s="8"/>
      <c r="M19" s="8"/>
      <c r="N19" s="8"/>
      <c r="O19" s="8"/>
      <c r="P19" s="8"/>
      <c r="Q19" s="8"/>
      <c r="R19" s="8"/>
      <c r="S19" s="8"/>
      <c r="T19" s="8"/>
      <c r="U19" s="8"/>
      <c r="V19" s="8"/>
      <c r="W19" s="8"/>
      <c r="X19" s="8"/>
      <c r="Y19" s="8"/>
      <c r="Z19" s="8"/>
      <c r="AA19" s="126"/>
      <c r="AI19" t="s">
        <v>1142</v>
      </c>
      <c r="AV19" s="468">
        <v>0.5</v>
      </c>
      <c r="AW19" s="469">
        <v>3.3218999999999999</v>
      </c>
      <c r="AX19" s="469">
        <v>3.2277999999999998</v>
      </c>
      <c r="AY19" s="469">
        <v>3.1372</v>
      </c>
      <c r="AZ19" s="469">
        <v>3.0497000000000001</v>
      </c>
      <c r="BA19" s="469">
        <v>2.9651999999999998</v>
      </c>
      <c r="BB19" s="469">
        <v>2.8835999999999999</v>
      </c>
      <c r="BC19" s="469">
        <v>2.8047</v>
      </c>
      <c r="BD19" s="469">
        <v>2.7282999999999999</v>
      </c>
      <c r="BE19" s="469">
        <v>2.6543000000000001</v>
      </c>
      <c r="BF19" s="469">
        <v>2.5825</v>
      </c>
    </row>
    <row r="20" spans="1:61" ht="15.5" x14ac:dyDescent="0.35">
      <c r="A20" s="425" t="s">
        <v>1094</v>
      </c>
      <c r="B20" s="259">
        <v>8.3000000000000007</v>
      </c>
      <c r="C20" s="263" t="s">
        <v>120</v>
      </c>
      <c r="D20" s="261">
        <f>I17*D12</f>
        <v>72</v>
      </c>
      <c r="E20" s="60" t="s">
        <v>156</v>
      </c>
      <c r="F20" s="264">
        <f>D20*B20</f>
        <v>597.6</v>
      </c>
      <c r="G20" s="510" t="s">
        <v>1096</v>
      </c>
      <c r="I20" s="504">
        <v>0.95</v>
      </c>
      <c r="J20" s="226" t="s">
        <v>1099</v>
      </c>
      <c r="K20" s="8"/>
      <c r="L20" s="8"/>
      <c r="M20" s="8"/>
      <c r="N20" s="8"/>
      <c r="O20" s="8"/>
      <c r="P20" s="8"/>
      <c r="Q20" s="8"/>
      <c r="R20" s="8"/>
      <c r="S20" s="8"/>
      <c r="T20" s="8"/>
      <c r="U20" s="8"/>
      <c r="V20" s="8"/>
      <c r="W20" s="8"/>
      <c r="X20" s="8"/>
      <c r="Y20" s="8"/>
      <c r="Z20" s="8"/>
      <c r="AA20" s="126"/>
      <c r="AI20" t="s">
        <v>1143</v>
      </c>
      <c r="AV20" s="468">
        <v>0.6</v>
      </c>
      <c r="AW20" s="469">
        <v>2.5129000000000001</v>
      </c>
      <c r="AX20" s="469">
        <v>2.4453999999999998</v>
      </c>
      <c r="AY20" s="469">
        <v>2.3797000000000001</v>
      </c>
      <c r="AZ20" s="469">
        <v>2.3159000000000001</v>
      </c>
      <c r="BA20" s="469">
        <v>2.2538</v>
      </c>
      <c r="BB20" s="469">
        <v>2.1932999999999998</v>
      </c>
      <c r="BC20" s="469">
        <v>2.1343999999999999</v>
      </c>
      <c r="BD20" s="469">
        <v>2.0769000000000002</v>
      </c>
      <c r="BE20" s="469">
        <v>2.0207999999999999</v>
      </c>
      <c r="BF20" s="469">
        <v>1.966</v>
      </c>
    </row>
    <row r="21" spans="1:61" ht="15.5" x14ac:dyDescent="0.35">
      <c r="A21" s="426"/>
      <c r="B21" s="53"/>
      <c r="C21" s="51"/>
      <c r="D21" s="52"/>
      <c r="E21" s="56"/>
      <c r="F21" s="11"/>
      <c r="G21" s="125"/>
      <c r="I21" s="504">
        <v>0.95</v>
      </c>
      <c r="J21" s="226" t="s">
        <v>1112</v>
      </c>
      <c r="K21" s="8"/>
      <c r="L21" s="8"/>
      <c r="M21" s="8"/>
      <c r="N21" s="8"/>
      <c r="O21" s="8"/>
      <c r="P21" s="8"/>
      <c r="Q21" s="8"/>
      <c r="R21" s="8"/>
      <c r="S21" s="8"/>
      <c r="T21" s="8"/>
      <c r="U21" s="8"/>
      <c r="V21" s="8"/>
      <c r="W21" s="8"/>
      <c r="X21" s="8"/>
      <c r="Y21" s="8"/>
      <c r="Z21" s="8"/>
      <c r="AA21" s="126"/>
      <c r="AI21" t="s">
        <v>1144</v>
      </c>
      <c r="AV21" s="468">
        <v>0.7</v>
      </c>
      <c r="AW21" s="469">
        <v>1.9125000000000001</v>
      </c>
      <c r="AX21" s="469">
        <v>1.8601000000000001</v>
      </c>
      <c r="AY21" s="469">
        <v>1.8088</v>
      </c>
      <c r="AZ21" s="469">
        <v>1.7585999999999999</v>
      </c>
      <c r="BA21" s="469">
        <v>1.7093</v>
      </c>
      <c r="BB21" s="469">
        <v>1.661</v>
      </c>
      <c r="BC21" s="469">
        <v>1.6134999999999999</v>
      </c>
      <c r="BD21" s="469">
        <v>1.5667</v>
      </c>
      <c r="BE21" s="469">
        <v>1.5206999999999999</v>
      </c>
      <c r="BF21" s="469">
        <v>1.4754</v>
      </c>
    </row>
    <row r="22" spans="1:61" ht="15" thickBot="1" x14ac:dyDescent="0.4">
      <c r="A22" s="304" t="s">
        <v>1095</v>
      </c>
      <c r="B22" s="415"/>
      <c r="C22" s="415"/>
      <c r="D22" s="415"/>
      <c r="E22" s="415"/>
      <c r="F22" s="325">
        <f>SUM(F20:F20)</f>
        <v>597.6</v>
      </c>
      <c r="G22" s="506" t="s">
        <v>1096</v>
      </c>
      <c r="I22" s="124"/>
      <c r="J22" s="8"/>
      <c r="K22" s="8"/>
      <c r="L22" s="8"/>
      <c r="M22" s="8"/>
      <c r="N22" s="8"/>
      <c r="O22" s="8"/>
      <c r="P22" s="8"/>
      <c r="Q22" s="8"/>
      <c r="R22" s="8"/>
      <c r="S22" s="8"/>
      <c r="T22" s="8"/>
      <c r="U22" s="8"/>
      <c r="V22" s="8"/>
      <c r="W22" s="8"/>
      <c r="X22" s="8"/>
      <c r="Y22" s="8"/>
      <c r="Z22" s="8"/>
      <c r="AA22" s="126"/>
      <c r="AV22" s="468">
        <v>0.8</v>
      </c>
      <c r="AW22" s="469">
        <v>1.4307000000000001</v>
      </c>
      <c r="AX22" s="469">
        <v>1.3865000000000001</v>
      </c>
      <c r="AY22" s="469">
        <v>1.3428</v>
      </c>
      <c r="AZ22" s="469">
        <v>1.2995000000000001</v>
      </c>
      <c r="BA22" s="469">
        <v>1.2565</v>
      </c>
      <c r="BB22" s="469">
        <v>1.2137</v>
      </c>
      <c r="BC22" s="469">
        <v>1.1711</v>
      </c>
      <c r="BD22" s="469">
        <v>1.1286</v>
      </c>
      <c r="BE22" s="469">
        <v>1.0860000000000001</v>
      </c>
      <c r="BF22" s="469">
        <v>1.0431999999999999</v>
      </c>
    </row>
    <row r="23" spans="1:61" ht="15" thickBot="1" x14ac:dyDescent="0.4">
      <c r="I23" s="124" t="s">
        <v>1113</v>
      </c>
      <c r="J23" s="8"/>
      <c r="K23" s="8"/>
      <c r="L23" s="8"/>
      <c r="M23" s="8"/>
      <c r="N23" s="8"/>
      <c r="O23" s="8"/>
      <c r="P23" s="8"/>
      <c r="Q23" s="8"/>
      <c r="R23" s="8"/>
      <c r="S23" s="8"/>
      <c r="T23" s="8"/>
      <c r="U23" s="8"/>
      <c r="V23" s="8"/>
      <c r="W23" s="8"/>
      <c r="X23" s="8"/>
      <c r="Y23" s="8"/>
      <c r="Z23" s="8"/>
      <c r="AA23" s="126"/>
      <c r="AI23" t="s">
        <v>1145</v>
      </c>
      <c r="AV23" s="468">
        <v>0.9</v>
      </c>
      <c r="AW23" s="469">
        <v>1</v>
      </c>
      <c r="AX23" s="469">
        <v>0.95620000000000005</v>
      </c>
      <c r="AY23" s="469">
        <v>0.91169999999999995</v>
      </c>
      <c r="AZ23" s="469">
        <v>0.8659</v>
      </c>
      <c r="BA23" s="469">
        <v>0.81840000000000002</v>
      </c>
      <c r="BB23" s="469">
        <v>0.76859999999999995</v>
      </c>
      <c r="BC23" s="469">
        <v>0.71530000000000005</v>
      </c>
      <c r="BD23" s="469">
        <v>0.65669999999999995</v>
      </c>
      <c r="BE23" s="469">
        <v>0.58860000000000001</v>
      </c>
      <c r="BF23" s="469">
        <v>0.5</v>
      </c>
    </row>
    <row r="24" spans="1:61" x14ac:dyDescent="0.35">
      <c r="A24" s="277" t="s">
        <v>20</v>
      </c>
      <c r="B24" s="278" t="s">
        <v>28</v>
      </c>
      <c r="C24" s="278" t="s">
        <v>150</v>
      </c>
      <c r="D24" s="278" t="s">
        <v>65</v>
      </c>
      <c r="E24" s="278" t="s">
        <v>150</v>
      </c>
      <c r="F24" s="279" t="s">
        <v>30</v>
      </c>
      <c r="G24" s="280" t="s">
        <v>150</v>
      </c>
      <c r="H24" s="455"/>
      <c r="I24" s="124" t="s">
        <v>415</v>
      </c>
      <c r="J24" s="8"/>
      <c r="K24" s="8"/>
      <c r="L24" s="8"/>
      <c r="M24" s="8"/>
      <c r="N24" s="8"/>
      <c r="O24" s="8"/>
      <c r="P24" s="8"/>
      <c r="Q24" s="8"/>
      <c r="R24" s="8"/>
      <c r="S24" s="8"/>
      <c r="T24" s="8"/>
      <c r="U24" s="8"/>
      <c r="V24" s="8"/>
      <c r="W24" s="8"/>
      <c r="X24" s="8"/>
      <c r="Y24" s="8"/>
      <c r="Z24" s="8"/>
      <c r="AA24" s="126"/>
    </row>
    <row r="25" spans="1:61" ht="15" thickBot="1" x14ac:dyDescent="0.4">
      <c r="A25" s="300"/>
      <c r="B25" s="51"/>
      <c r="C25" s="51"/>
      <c r="D25" s="51"/>
      <c r="E25" s="51"/>
      <c r="F25" s="2"/>
      <c r="G25" s="125"/>
      <c r="I25" s="124"/>
      <c r="J25" s="8"/>
      <c r="K25" s="8"/>
      <c r="L25" s="8"/>
      <c r="M25" s="8"/>
      <c r="N25" s="8"/>
      <c r="O25" s="8"/>
      <c r="P25" s="8"/>
      <c r="Q25" s="8"/>
      <c r="R25" s="44" t="s">
        <v>475</v>
      </c>
      <c r="S25" s="44" t="s">
        <v>1191</v>
      </c>
      <c r="T25" s="44" t="s">
        <v>468</v>
      </c>
      <c r="U25" s="44" t="s">
        <v>30</v>
      </c>
      <c r="V25" s="8"/>
      <c r="W25" s="44" t="s">
        <v>472</v>
      </c>
      <c r="X25" s="44" t="s">
        <v>473</v>
      </c>
      <c r="Y25" s="44" t="s">
        <v>480</v>
      </c>
      <c r="Z25" s="44" t="s">
        <v>75</v>
      </c>
      <c r="AA25" s="126"/>
    </row>
    <row r="26" spans="1:61" ht="15" thickBot="1" x14ac:dyDescent="0.4">
      <c r="A26" s="177" t="s">
        <v>26</v>
      </c>
      <c r="B26" s="221">
        <v>75.857142857142861</v>
      </c>
      <c r="C26" s="65" t="s">
        <v>149</v>
      </c>
      <c r="D26" s="31"/>
      <c r="E26" s="60"/>
      <c r="F26" s="27">
        <f>B26</f>
        <v>75.857142857142861</v>
      </c>
      <c r="G26" s="410" t="s">
        <v>149</v>
      </c>
      <c r="I26" s="124"/>
      <c r="J26" s="176" t="s">
        <v>1100</v>
      </c>
      <c r="K26" s="196">
        <f>(B64/($I$17*$I$16*$F$12))</f>
        <v>26.194444444444443</v>
      </c>
      <c r="L26" s="132" t="s">
        <v>432</v>
      </c>
      <c r="M26" s="8"/>
      <c r="N26" s="176" t="s">
        <v>1109</v>
      </c>
      <c r="O26" s="199">
        <f>K26*$F$15*$I$16</f>
        <v>256967.5</v>
      </c>
      <c r="P26" s="8"/>
      <c r="Q26" s="2" t="s">
        <v>1103</v>
      </c>
      <c r="R26" s="204">
        <f>$F$19*$I$16*K26</f>
        <v>8054.7916666666661</v>
      </c>
      <c r="S26" s="456">
        <f>(K26*$I$16*($F$22+$F$28))+($F$33*B64)</f>
        <v>1119408.3571428573</v>
      </c>
      <c r="T26" s="204">
        <f>($F$42*$I$16)+($F$43*K26)</f>
        <v>32028.055555555555</v>
      </c>
      <c r="U26" s="205">
        <f>SUM(R26:T26)</f>
        <v>1159491.2043650795</v>
      </c>
      <c r="V26" s="8"/>
      <c r="W26" s="2" t="s">
        <v>1106</v>
      </c>
      <c r="X26" s="205">
        <f>O26</f>
        <v>256967.5</v>
      </c>
      <c r="Y26" s="205">
        <f>U26</f>
        <v>1159491.2043650795</v>
      </c>
      <c r="Z26" s="205">
        <f>X26+Y26</f>
        <v>1416458.7043650795</v>
      </c>
      <c r="AA26" s="126"/>
    </row>
    <row r="27" spans="1:61" x14ac:dyDescent="0.35">
      <c r="A27" s="177"/>
      <c r="B27" s="1"/>
      <c r="C27" s="65"/>
      <c r="D27" s="50"/>
      <c r="E27" s="50"/>
      <c r="F27" s="3"/>
      <c r="G27" s="125"/>
      <c r="H27" s="8"/>
      <c r="I27" s="124"/>
      <c r="J27" s="177" t="s">
        <v>1101</v>
      </c>
      <c r="K27" s="196">
        <f>(C64/($I$17*$I$16*$F$12))</f>
        <v>37.013888888888886</v>
      </c>
      <c r="L27" s="126" t="s">
        <v>432</v>
      </c>
      <c r="M27" s="8"/>
      <c r="N27" s="177" t="s">
        <v>1110</v>
      </c>
      <c r="O27" s="199">
        <f>K27*$F$15*$I$16</f>
        <v>363106.25</v>
      </c>
      <c r="P27" s="8"/>
      <c r="Q27" s="2" t="s">
        <v>1104</v>
      </c>
      <c r="R27" s="204">
        <f>$F$19*$I$16*K27</f>
        <v>11381.770833333332</v>
      </c>
      <c r="S27" s="456">
        <f>(K27*$I$16*($F$22+$F$28))+($F$33*C64)</f>
        <v>1581772.6785714286</v>
      </c>
      <c r="T27" s="204">
        <f>($F$42*$I$16)+($F$43*K27)</f>
        <v>43604.861111111109</v>
      </c>
      <c r="U27" s="205">
        <f>SUM(R27:T27)</f>
        <v>1636759.3105158729</v>
      </c>
      <c r="V27" s="8"/>
      <c r="W27" s="2" t="s">
        <v>1107</v>
      </c>
      <c r="X27" s="205">
        <f>O27</f>
        <v>363106.25</v>
      </c>
      <c r="Y27" s="205">
        <f>U27</f>
        <v>1636759.3105158729</v>
      </c>
      <c r="Z27" s="205">
        <f>X27+Y27</f>
        <v>1999865.5605158729</v>
      </c>
      <c r="AA27" s="126"/>
    </row>
    <row r="28" spans="1:61" ht="15" thickBot="1" x14ac:dyDescent="0.4">
      <c r="A28" s="284" t="s">
        <v>105</v>
      </c>
      <c r="B28" s="305"/>
      <c r="C28" s="286"/>
      <c r="D28" s="306"/>
      <c r="E28" s="306"/>
      <c r="F28" s="318">
        <f>F26</f>
        <v>75.857142857142861</v>
      </c>
      <c r="G28" s="290" t="s">
        <v>149</v>
      </c>
      <c r="H28" s="9"/>
      <c r="I28" s="124"/>
      <c r="J28" s="124"/>
      <c r="K28" s="193"/>
      <c r="L28" s="126"/>
      <c r="M28" s="8"/>
      <c r="N28" s="124"/>
      <c r="O28" s="181"/>
      <c r="P28" s="8"/>
      <c r="Q28" s="8"/>
      <c r="R28" s="188"/>
      <c r="S28" s="189"/>
      <c r="T28" s="8"/>
      <c r="U28" s="8"/>
      <c r="V28" s="8"/>
      <c r="W28" s="8"/>
      <c r="X28" s="184"/>
      <c r="Y28" s="8"/>
      <c r="Z28" s="8"/>
      <c r="AA28" s="126"/>
    </row>
    <row r="29" spans="1:61" ht="15" thickBot="1" x14ac:dyDescent="0.4">
      <c r="A29" s="457"/>
      <c r="B29" s="292"/>
      <c r="C29" s="391"/>
      <c r="D29" s="417"/>
      <c r="E29" s="417"/>
      <c r="F29" s="393"/>
      <c r="G29" s="458"/>
      <c r="I29" s="124"/>
      <c r="J29" s="178" t="s">
        <v>1102</v>
      </c>
      <c r="K29" s="198">
        <f>SUM(K26:K27)</f>
        <v>63.208333333333329</v>
      </c>
      <c r="L29" s="134" t="s">
        <v>432</v>
      </c>
      <c r="M29" s="8"/>
      <c r="N29" s="178" t="s">
        <v>1111</v>
      </c>
      <c r="O29" s="509">
        <f>SUM(O26:O27)</f>
        <v>620073.75</v>
      </c>
      <c r="P29" s="8"/>
      <c r="Q29" s="4" t="s">
        <v>1105</v>
      </c>
      <c r="R29" s="509">
        <f>SUM(R26:R27)</f>
        <v>19436.5625</v>
      </c>
      <c r="S29" s="509">
        <f t="shared" ref="S29:U29" si="0">SUM(S26:S27)</f>
        <v>2701181.0357142859</v>
      </c>
      <c r="T29" s="509">
        <f t="shared" si="0"/>
        <v>75632.916666666657</v>
      </c>
      <c r="U29" s="509">
        <f t="shared" si="0"/>
        <v>2796250.5148809524</v>
      </c>
      <c r="V29" s="8"/>
      <c r="W29" s="4" t="s">
        <v>1108</v>
      </c>
      <c r="X29" s="509">
        <f t="shared" ref="X29:Z29" si="1">SUM(X26:X27)</f>
        <v>620073.75</v>
      </c>
      <c r="Y29" s="509">
        <f t="shared" si="1"/>
        <v>2796250.5148809524</v>
      </c>
      <c r="Z29" s="509">
        <f t="shared" si="1"/>
        <v>3416324.2648809524</v>
      </c>
      <c r="AA29" s="126"/>
      <c r="AV29" s="472" t="s">
        <v>1172</v>
      </c>
      <c r="AW29" s="472"/>
      <c r="AX29" s="472"/>
      <c r="AY29" s="472"/>
      <c r="AZ29" s="472"/>
      <c r="BA29" s="472"/>
      <c r="BB29" s="472"/>
      <c r="BC29" s="472"/>
      <c r="BD29" s="472"/>
      <c r="BE29" s="472"/>
      <c r="BF29" s="472"/>
      <c r="BG29" s="472"/>
      <c r="BH29" s="472"/>
      <c r="BI29" s="472"/>
    </row>
    <row r="30" spans="1:61" x14ac:dyDescent="0.35">
      <c r="A30" s="277" t="s">
        <v>1114</v>
      </c>
      <c r="B30" s="278" t="s">
        <v>28</v>
      </c>
      <c r="C30" s="278" t="s">
        <v>150</v>
      </c>
      <c r="D30" s="278" t="s">
        <v>65</v>
      </c>
      <c r="E30" s="278" t="s">
        <v>150</v>
      </c>
      <c r="F30" s="279" t="s">
        <v>30</v>
      </c>
      <c r="G30" s="280" t="s">
        <v>150</v>
      </c>
      <c r="I30" s="124"/>
      <c r="J30" s="8"/>
      <c r="K30" s="8"/>
      <c r="L30" s="8"/>
      <c r="M30" s="8"/>
      <c r="N30" s="8"/>
      <c r="O30" s="8"/>
      <c r="P30" s="8"/>
      <c r="Q30" s="8"/>
      <c r="R30" s="8"/>
      <c r="S30" s="8"/>
      <c r="T30" s="8"/>
      <c r="U30" s="8"/>
      <c r="V30" s="8"/>
      <c r="W30" s="8"/>
      <c r="X30" s="8"/>
      <c r="Y30" s="8"/>
      <c r="Z30" s="8"/>
      <c r="AA30" s="126"/>
      <c r="AV30" s="472"/>
      <c r="AW30" s="472"/>
      <c r="AX30" s="472"/>
      <c r="AY30" s="472"/>
      <c r="AZ30" s="472"/>
      <c r="BA30" s="472"/>
      <c r="BB30" s="472"/>
      <c r="BC30" s="472"/>
      <c r="BD30" s="472"/>
      <c r="BE30" s="472"/>
      <c r="BF30" s="472"/>
      <c r="BG30" s="472"/>
      <c r="BH30" s="472"/>
      <c r="BI30" s="472"/>
    </row>
    <row r="31" spans="1:61" x14ac:dyDescent="0.35">
      <c r="A31" s="380" t="s">
        <v>1115</v>
      </c>
      <c r="B31" s="5">
        <v>50</v>
      </c>
      <c r="C31" s="34" t="s">
        <v>1117</v>
      </c>
      <c r="D31" s="31"/>
      <c r="E31" s="31"/>
      <c r="F31" s="459"/>
      <c r="G31" s="125"/>
      <c r="I31" s="124"/>
      <c r="J31" s="9"/>
      <c r="K31" s="9"/>
      <c r="L31" s="9"/>
      <c r="M31" s="8"/>
      <c r="N31" s="9"/>
      <c r="O31" s="9"/>
      <c r="P31" s="8"/>
      <c r="Q31" s="8"/>
      <c r="R31" s="8"/>
      <c r="S31" s="8"/>
      <c r="T31" s="8"/>
      <c r="U31" s="184"/>
      <c r="V31" s="8"/>
      <c r="W31" s="8"/>
      <c r="X31" s="8"/>
      <c r="Y31" s="8"/>
      <c r="Z31" s="8"/>
      <c r="AA31" s="126"/>
      <c r="AV31" s="472" t="s">
        <v>1168</v>
      </c>
      <c r="AW31" s="472"/>
      <c r="AX31" s="472"/>
      <c r="AY31" s="472"/>
      <c r="AZ31" s="472"/>
      <c r="BA31" s="472"/>
      <c r="BB31" s="472"/>
      <c r="BC31" s="472"/>
      <c r="BD31" s="472"/>
      <c r="BE31" s="472"/>
      <c r="BF31" s="472"/>
      <c r="BG31" s="472"/>
      <c r="BH31" s="472"/>
      <c r="BI31" s="472"/>
    </row>
    <row r="32" spans="1:61" x14ac:dyDescent="0.35">
      <c r="A32" s="460"/>
      <c r="B32" s="292"/>
      <c r="C32" s="391"/>
      <c r="D32" s="417"/>
      <c r="E32" s="417"/>
      <c r="F32" s="418"/>
      <c r="G32" s="164"/>
      <c r="I32" s="124"/>
      <c r="J32" s="9"/>
      <c r="K32" s="250"/>
      <c r="L32" s="9"/>
      <c r="M32" s="9"/>
      <c r="N32" s="8"/>
      <c r="O32" s="192"/>
      <c r="P32" s="8"/>
      <c r="Q32" s="8"/>
      <c r="R32" s="8"/>
      <c r="S32" s="8"/>
      <c r="T32" s="8"/>
      <c r="U32" s="8"/>
      <c r="V32" s="8"/>
      <c r="W32" s="8"/>
      <c r="X32" s="8"/>
      <c r="Y32" s="8"/>
      <c r="Z32" s="8"/>
      <c r="AA32" s="126"/>
      <c r="AV32" s="472"/>
      <c r="AW32" s="472"/>
      <c r="AX32" s="472"/>
      <c r="AY32" s="472"/>
      <c r="AZ32" s="472"/>
      <c r="BA32" s="472"/>
      <c r="BB32" s="472"/>
      <c r="BC32" s="472"/>
      <c r="BD32" s="472"/>
      <c r="BE32" s="472"/>
      <c r="BF32" s="472"/>
      <c r="BG32" s="472"/>
      <c r="BH32" s="472"/>
      <c r="BI32" s="472"/>
    </row>
    <row r="33" spans="1:61" ht="15" thickBot="1" x14ac:dyDescent="0.4">
      <c r="A33" s="304" t="s">
        <v>1116</v>
      </c>
      <c r="B33" s="305"/>
      <c r="C33" s="306"/>
      <c r="D33" s="286"/>
      <c r="E33" s="307"/>
      <c r="F33" s="318">
        <f>B31</f>
        <v>50</v>
      </c>
      <c r="G33" s="290" t="s">
        <v>1118</v>
      </c>
      <c r="I33" s="124"/>
      <c r="J33" s="9"/>
      <c r="K33" s="9"/>
      <c r="L33" s="9"/>
      <c r="M33" s="8"/>
      <c r="N33" s="192"/>
      <c r="O33" s="8"/>
      <c r="P33" s="8"/>
      <c r="Q33" s="8"/>
      <c r="R33" s="8"/>
      <c r="S33" s="8"/>
      <c r="T33" s="8"/>
      <c r="U33" s="8"/>
      <c r="V33" s="8"/>
      <c r="W33" s="8"/>
      <c r="X33" s="8"/>
      <c r="Y33" s="8"/>
      <c r="Z33" s="8"/>
      <c r="AA33" s="126"/>
      <c r="AV33" s="501" t="s">
        <v>1169</v>
      </c>
      <c r="AW33" s="502" t="s">
        <v>1130</v>
      </c>
      <c r="AX33" s="472"/>
      <c r="AY33" s="472"/>
      <c r="AZ33" s="472"/>
      <c r="BA33" s="472"/>
      <c r="BB33" s="472"/>
      <c r="BC33" s="472"/>
      <c r="BD33" s="472"/>
      <c r="BE33" s="472"/>
      <c r="BF33" s="472"/>
      <c r="BG33" s="472"/>
      <c r="BH33" s="472"/>
      <c r="BI33" s="472"/>
    </row>
    <row r="34" spans="1:61" ht="15" thickBot="1" x14ac:dyDescent="0.4">
      <c r="A34" s="457"/>
      <c r="B34" s="292"/>
      <c r="C34" s="391"/>
      <c r="D34" s="417"/>
      <c r="E34" s="417"/>
      <c r="F34" s="418"/>
      <c r="G34" s="19"/>
      <c r="I34" s="124"/>
      <c r="J34" s="8"/>
      <c r="K34" s="8"/>
      <c r="L34" s="8"/>
      <c r="M34" s="8"/>
      <c r="N34" s="8"/>
      <c r="O34" s="8"/>
      <c r="P34" s="8" t="s">
        <v>1190</v>
      </c>
      <c r="Q34" s="8"/>
      <c r="R34" s="8"/>
      <c r="S34" s="8"/>
      <c r="T34" s="8"/>
      <c r="U34" s="8"/>
      <c r="V34" s="8"/>
      <c r="W34" s="8"/>
      <c r="X34" s="8"/>
      <c r="Y34" s="8"/>
      <c r="Z34" s="8"/>
      <c r="AA34" s="126"/>
      <c r="AV34" s="503">
        <v>0.5</v>
      </c>
      <c r="AW34" s="503">
        <v>0.30099999999999999</v>
      </c>
      <c r="AX34" s="472"/>
      <c r="AY34" s="472" t="s">
        <v>1161</v>
      </c>
      <c r="AZ34" s="472"/>
      <c r="BA34" s="472"/>
      <c r="BB34" s="472"/>
      <c r="BC34" s="472"/>
      <c r="BD34" s="472"/>
      <c r="BE34" s="472"/>
      <c r="BF34" s="472"/>
      <c r="BG34" s="472"/>
      <c r="BH34" s="472"/>
      <c r="BI34" s="472"/>
    </row>
    <row r="35" spans="1:61" ht="15" thickBot="1" x14ac:dyDescent="0.4">
      <c r="A35" s="277" t="s">
        <v>31</v>
      </c>
      <c r="B35" s="278" t="s">
        <v>28</v>
      </c>
      <c r="C35" s="278" t="s">
        <v>150</v>
      </c>
      <c r="D35" s="278" t="s">
        <v>65</v>
      </c>
      <c r="E35" s="278" t="s">
        <v>150</v>
      </c>
      <c r="F35" s="279" t="s">
        <v>30</v>
      </c>
      <c r="G35" s="280" t="s">
        <v>150</v>
      </c>
      <c r="I35" s="127"/>
      <c r="J35" s="133"/>
      <c r="K35" s="133"/>
      <c r="L35" s="133"/>
      <c r="M35" s="133"/>
      <c r="N35" s="133"/>
      <c r="O35" s="133"/>
      <c r="P35" s="133"/>
      <c r="Q35" s="133"/>
      <c r="R35" s="133"/>
      <c r="S35" s="133"/>
      <c r="T35" s="133"/>
      <c r="U35" s="133"/>
      <c r="V35" s="133"/>
      <c r="W35" s="133"/>
      <c r="X35" s="133"/>
      <c r="Y35" s="133"/>
      <c r="Z35" s="133"/>
      <c r="AA35" s="134"/>
      <c r="AV35" s="503">
        <v>0.75</v>
      </c>
      <c r="AW35" s="503">
        <v>0.60199999999999998</v>
      </c>
      <c r="AX35" s="472"/>
      <c r="AY35" s="472" t="s">
        <v>1162</v>
      </c>
      <c r="AZ35" s="472"/>
      <c r="BA35" s="472"/>
      <c r="BB35" s="472">
        <v>1</v>
      </c>
      <c r="BC35" s="472"/>
      <c r="BD35" s="472"/>
      <c r="BE35" s="472"/>
      <c r="BF35" s="472"/>
      <c r="BG35" s="472"/>
      <c r="BH35" s="472"/>
      <c r="BI35" s="472"/>
    </row>
    <row r="36" spans="1:61" x14ac:dyDescent="0.35">
      <c r="A36" s="339"/>
      <c r="B36" s="73"/>
      <c r="C36" s="73"/>
      <c r="D36" s="73"/>
      <c r="E36" s="81"/>
      <c r="F36" s="110"/>
      <c r="G36" s="334"/>
      <c r="AV36" s="503">
        <v>0.9</v>
      </c>
      <c r="AW36" s="503">
        <v>1</v>
      </c>
      <c r="AX36" s="472"/>
      <c r="AY36" s="472" t="s">
        <v>1163</v>
      </c>
      <c r="AZ36" s="472"/>
      <c r="BA36" s="472"/>
      <c r="BB36" s="472"/>
      <c r="BC36" s="472"/>
      <c r="BD36" s="472"/>
      <c r="BE36" s="472"/>
      <c r="BF36" s="472"/>
      <c r="BG36" s="472"/>
      <c r="BH36" s="472"/>
      <c r="BI36" s="472"/>
    </row>
    <row r="37" spans="1:61" ht="29" x14ac:dyDescent="0.35">
      <c r="A37" s="340" t="s">
        <v>390</v>
      </c>
      <c r="B37" s="234">
        <v>0.47</v>
      </c>
      <c r="C37" s="38" t="s">
        <v>44</v>
      </c>
      <c r="D37" s="230">
        <v>2000</v>
      </c>
      <c r="E37" s="38" t="s">
        <v>825</v>
      </c>
      <c r="F37" s="36">
        <f>D37*B37</f>
        <v>940</v>
      </c>
      <c r="G37" s="410" t="s">
        <v>149</v>
      </c>
      <c r="AV37" s="503">
        <v>0.95</v>
      </c>
      <c r="AW37" s="503">
        <v>1.3009999999999999</v>
      </c>
      <c r="AX37" s="472"/>
      <c r="AY37" s="472"/>
      <c r="AZ37" s="472"/>
      <c r="BA37" s="472"/>
      <c r="BB37" s="472"/>
      <c r="BC37" s="472"/>
      <c r="BD37" s="472"/>
      <c r="BE37" s="472"/>
      <c r="BF37" s="472"/>
      <c r="BG37" s="472"/>
      <c r="BH37" s="472"/>
      <c r="BI37" s="472"/>
    </row>
    <row r="38" spans="1:61" x14ac:dyDescent="0.35">
      <c r="A38" s="380" t="s">
        <v>42</v>
      </c>
      <c r="B38" s="234">
        <v>300</v>
      </c>
      <c r="C38" s="38" t="s">
        <v>10</v>
      </c>
      <c r="D38" s="230">
        <v>1</v>
      </c>
      <c r="E38" s="60" t="s">
        <v>117</v>
      </c>
      <c r="F38" s="36">
        <f>D38*B38</f>
        <v>300</v>
      </c>
      <c r="G38" s="411" t="s">
        <v>376</v>
      </c>
      <c r="AV38" s="503">
        <v>0.97499999999999998</v>
      </c>
      <c r="AW38" s="503">
        <v>1.6020000000000001</v>
      </c>
      <c r="AX38" s="472"/>
      <c r="AY38" s="472" t="s">
        <v>1161</v>
      </c>
      <c r="AZ38" s="472"/>
      <c r="BA38" s="472"/>
      <c r="BB38" s="472"/>
      <c r="BC38" s="472"/>
      <c r="BD38" s="472"/>
      <c r="BE38" s="472"/>
      <c r="BF38" s="472"/>
      <c r="BG38" s="472"/>
      <c r="BH38" s="472"/>
      <c r="BI38" s="472"/>
    </row>
    <row r="39" spans="1:61" x14ac:dyDescent="0.35">
      <c r="A39" s="380" t="s">
        <v>43</v>
      </c>
      <c r="B39" s="234">
        <v>100</v>
      </c>
      <c r="C39" s="38" t="s">
        <v>10</v>
      </c>
      <c r="D39" s="230">
        <v>1</v>
      </c>
      <c r="E39" s="60" t="s">
        <v>117</v>
      </c>
      <c r="F39" s="36">
        <f>D39*B39</f>
        <v>100</v>
      </c>
      <c r="G39" s="411" t="s">
        <v>376</v>
      </c>
      <c r="H39" s="103"/>
      <c r="AV39" s="503">
        <v>0.99</v>
      </c>
      <c r="AW39" s="503">
        <v>2</v>
      </c>
      <c r="AX39" s="472"/>
      <c r="AY39" s="472" t="s">
        <v>1164</v>
      </c>
      <c r="AZ39" s="472"/>
      <c r="BA39" s="472"/>
      <c r="BB39" s="472">
        <v>2</v>
      </c>
      <c r="BC39" s="472"/>
      <c r="BD39" s="472"/>
      <c r="BE39" s="472"/>
      <c r="BF39" s="472"/>
      <c r="BG39" s="472"/>
      <c r="BH39" s="472"/>
      <c r="BI39" s="472"/>
    </row>
    <row r="40" spans="1:61" x14ac:dyDescent="0.35">
      <c r="A40" s="380" t="s">
        <v>47</v>
      </c>
      <c r="B40" s="234">
        <v>130</v>
      </c>
      <c r="C40" s="38" t="s">
        <v>10</v>
      </c>
      <c r="D40" s="230">
        <v>1</v>
      </c>
      <c r="E40" s="60" t="s">
        <v>117</v>
      </c>
      <c r="F40" s="36">
        <f>D40*B40</f>
        <v>130</v>
      </c>
      <c r="G40" s="411" t="s">
        <v>376</v>
      </c>
      <c r="H40" s="8"/>
      <c r="AV40" s="503">
        <v>0.995</v>
      </c>
      <c r="AW40" s="503">
        <v>2.2999999999999998</v>
      </c>
      <c r="AX40" s="472"/>
      <c r="AY40" s="472" t="s">
        <v>1165</v>
      </c>
      <c r="AZ40" s="472"/>
      <c r="BA40" s="472"/>
      <c r="BB40" s="472"/>
      <c r="BC40" s="472"/>
      <c r="BD40" s="472"/>
      <c r="BE40" s="472"/>
      <c r="BF40" s="472"/>
      <c r="BG40" s="472"/>
      <c r="BH40" s="472"/>
      <c r="BI40" s="472"/>
    </row>
    <row r="41" spans="1:61" x14ac:dyDescent="0.35">
      <c r="A41" s="412" t="s">
        <v>101</v>
      </c>
      <c r="B41" s="51"/>
      <c r="C41" s="51"/>
      <c r="D41" s="51"/>
      <c r="E41" s="51"/>
      <c r="F41" s="2"/>
      <c r="G41" s="125"/>
      <c r="AV41" s="503">
        <v>0.999</v>
      </c>
      <c r="AW41" s="503">
        <v>2.996</v>
      </c>
      <c r="AX41" s="472"/>
      <c r="AY41" s="472"/>
      <c r="AZ41" s="472"/>
      <c r="BA41" s="472"/>
      <c r="BB41" s="472"/>
      <c r="BC41" s="472"/>
      <c r="BD41" s="472"/>
      <c r="BE41" s="472"/>
      <c r="BF41" s="472"/>
      <c r="BG41" s="472"/>
      <c r="BH41" s="472"/>
      <c r="BI41" s="472"/>
    </row>
    <row r="42" spans="1:61" x14ac:dyDescent="0.35">
      <c r="A42" s="301" t="s">
        <v>829</v>
      </c>
      <c r="B42" s="51"/>
      <c r="C42" s="51"/>
      <c r="D42" s="51"/>
      <c r="E42" s="51"/>
      <c r="F42" s="49">
        <f>F38+F39</f>
        <v>400</v>
      </c>
      <c r="G42" s="342" t="s">
        <v>376</v>
      </c>
      <c r="H42" s="8"/>
      <c r="AV42" s="472"/>
      <c r="AW42" s="472"/>
      <c r="AX42" s="472"/>
      <c r="AY42" s="472"/>
      <c r="AZ42" s="472"/>
      <c r="BA42" s="472"/>
      <c r="BB42" s="472"/>
      <c r="BC42" s="472"/>
      <c r="BD42" s="472"/>
      <c r="BE42" s="472"/>
      <c r="BF42" s="472"/>
      <c r="BG42" s="472"/>
      <c r="BH42" s="472"/>
      <c r="BI42" s="472"/>
    </row>
    <row r="43" spans="1:61" ht="15" thickBot="1" x14ac:dyDescent="0.4">
      <c r="A43" s="461" t="s">
        <v>830</v>
      </c>
      <c r="B43" s="415"/>
      <c r="C43" s="415"/>
      <c r="D43" s="415"/>
      <c r="E43" s="415"/>
      <c r="F43" s="416">
        <f>F37+F40</f>
        <v>1070</v>
      </c>
      <c r="G43" s="290" t="s">
        <v>149</v>
      </c>
      <c r="AV43" s="472"/>
      <c r="AW43" s="472"/>
      <c r="AX43" s="472"/>
      <c r="AY43" s="472"/>
      <c r="AZ43" s="472"/>
      <c r="BA43" s="472"/>
      <c r="BB43" s="472"/>
      <c r="BC43" s="472"/>
      <c r="BD43" s="472"/>
      <c r="BE43" s="472"/>
      <c r="BF43" s="472"/>
      <c r="BG43" s="472"/>
      <c r="BH43" s="472"/>
      <c r="BI43" s="472"/>
    </row>
    <row r="44" spans="1:61" ht="15" thickBot="1" x14ac:dyDescent="0.4">
      <c r="AV44" s="472" t="s">
        <v>1170</v>
      </c>
      <c r="AW44" s="472"/>
      <c r="AX44" s="472"/>
      <c r="AY44" s="472"/>
      <c r="AZ44" s="472"/>
      <c r="BA44" s="472"/>
      <c r="BB44" s="472"/>
      <c r="BC44" s="472"/>
      <c r="BD44" s="472"/>
      <c r="BE44" s="472"/>
      <c r="BF44" s="472"/>
      <c r="BG44" s="472"/>
      <c r="BH44" s="472"/>
      <c r="BI44" s="472"/>
    </row>
    <row r="45" spans="1:61" x14ac:dyDescent="0.35">
      <c r="A45" s="277" t="s">
        <v>1175</v>
      </c>
      <c r="B45" s="278" t="s">
        <v>28</v>
      </c>
      <c r="C45" s="278" t="s">
        <v>150</v>
      </c>
      <c r="D45" s="278" t="s">
        <v>65</v>
      </c>
      <c r="E45" s="278" t="s">
        <v>150</v>
      </c>
      <c r="F45" s="279" t="s">
        <v>30</v>
      </c>
      <c r="G45" s="280" t="s">
        <v>150</v>
      </c>
      <c r="AV45" s="472"/>
      <c r="AW45" s="472"/>
      <c r="AX45" s="472"/>
      <c r="AY45" s="472"/>
      <c r="AZ45" s="472"/>
      <c r="BA45" s="472"/>
      <c r="BB45" s="472"/>
      <c r="BC45" s="472"/>
      <c r="BD45" s="472"/>
      <c r="BE45" s="472"/>
      <c r="BF45" s="472"/>
      <c r="BG45" s="472"/>
      <c r="BH45" s="472"/>
      <c r="BI45" s="472"/>
    </row>
    <row r="46" spans="1:61" x14ac:dyDescent="0.35">
      <c r="A46" s="341" t="s">
        <v>1176</v>
      </c>
      <c r="B46" s="5"/>
      <c r="C46" s="34"/>
      <c r="D46" s="31">
        <v>2</v>
      </c>
      <c r="E46" s="31" t="s">
        <v>1189</v>
      </c>
      <c r="F46" s="112">
        <v>2</v>
      </c>
      <c r="G46" s="420" t="s">
        <v>1189</v>
      </c>
      <c r="AV46" s="502" t="s">
        <v>1166</v>
      </c>
      <c r="AW46" s="501" t="s">
        <v>1136</v>
      </c>
      <c r="AX46" s="472"/>
      <c r="AY46" s="472"/>
      <c r="AZ46" s="472"/>
      <c r="BA46" s="472"/>
      <c r="BB46" s="472"/>
      <c r="BC46" s="472"/>
      <c r="BD46" s="472"/>
      <c r="BE46" s="472"/>
      <c r="BF46" s="472"/>
      <c r="BG46" s="472"/>
      <c r="BH46" s="472"/>
      <c r="BI46" s="472"/>
    </row>
    <row r="47" spans="1:61" x14ac:dyDescent="0.35">
      <c r="A47" s="341" t="s">
        <v>1177</v>
      </c>
      <c r="B47" s="5"/>
      <c r="C47" s="34"/>
      <c r="D47" s="31">
        <v>2</v>
      </c>
      <c r="E47" s="31" t="s">
        <v>1189</v>
      </c>
      <c r="F47" s="112">
        <v>2</v>
      </c>
      <c r="G47" s="420" t="s">
        <v>1189</v>
      </c>
      <c r="AV47" s="503">
        <v>0.5</v>
      </c>
      <c r="AW47" s="503">
        <v>0.99</v>
      </c>
      <c r="AX47" s="472"/>
      <c r="AY47" s="472"/>
      <c r="AZ47" s="472"/>
      <c r="BA47" s="472"/>
      <c r="BB47" s="472"/>
      <c r="BC47" s="472"/>
      <c r="BD47" s="472"/>
      <c r="BE47" s="472"/>
      <c r="BF47" s="472"/>
      <c r="BG47" s="472"/>
      <c r="BH47" s="472"/>
      <c r="BI47" s="472"/>
    </row>
    <row r="48" spans="1:61" x14ac:dyDescent="0.35">
      <c r="A48" s="341" t="s">
        <v>1178</v>
      </c>
      <c r="B48" s="5"/>
      <c r="C48" s="34"/>
      <c r="D48" s="31">
        <v>2000</v>
      </c>
      <c r="E48" s="31" t="s">
        <v>46</v>
      </c>
      <c r="F48" s="112">
        <v>2000</v>
      </c>
      <c r="G48" s="420" t="s">
        <v>46</v>
      </c>
      <c r="AV48" s="503">
        <v>0.58860000000000001</v>
      </c>
      <c r="AW48" s="503">
        <v>0.98</v>
      </c>
      <c r="AX48" s="472"/>
      <c r="AY48" s="472" t="s">
        <v>1161</v>
      </c>
      <c r="AZ48" s="472"/>
      <c r="BA48" s="472"/>
      <c r="BB48" s="472">
        <v>0.17</v>
      </c>
      <c r="BC48" s="472"/>
      <c r="BD48" s="472"/>
      <c r="BE48" s="472"/>
      <c r="BF48" s="472"/>
      <c r="BG48" s="472"/>
      <c r="BH48" s="472"/>
      <c r="BI48" s="472"/>
    </row>
    <row r="49" spans="1:61" ht="15" thickBot="1" x14ac:dyDescent="0.4">
      <c r="A49" s="284" t="s">
        <v>1179</v>
      </c>
      <c r="B49" s="305"/>
      <c r="C49" s="388"/>
      <c r="D49" s="336">
        <v>2</v>
      </c>
      <c r="E49" s="336" t="s">
        <v>404</v>
      </c>
      <c r="F49" s="505">
        <f>D49</f>
        <v>2</v>
      </c>
      <c r="G49" s="506" t="s">
        <v>404</v>
      </c>
      <c r="AV49" s="503">
        <v>0.65669999999999995</v>
      </c>
      <c r="AW49" s="503">
        <v>0.97</v>
      </c>
      <c r="AX49" s="472"/>
      <c r="AY49" s="472" t="s">
        <v>1171</v>
      </c>
      <c r="AZ49" s="472"/>
      <c r="BA49" s="472"/>
      <c r="BB49" s="472"/>
      <c r="BC49" s="472"/>
      <c r="BD49" s="472"/>
      <c r="BE49" s="472"/>
      <c r="BF49" s="472"/>
      <c r="BG49" s="472"/>
      <c r="BH49" s="472"/>
      <c r="BI49" s="472"/>
    </row>
    <row r="50" spans="1:61" x14ac:dyDescent="0.35">
      <c r="AV50" s="503">
        <v>0.71530000000000005</v>
      </c>
      <c r="AW50" s="503">
        <v>0.96</v>
      </c>
      <c r="AX50" s="472"/>
      <c r="AY50" s="472" t="s">
        <v>1163</v>
      </c>
      <c r="AZ50" s="472"/>
      <c r="BA50" s="472"/>
      <c r="BB50" s="472"/>
      <c r="BC50" s="472"/>
      <c r="BD50" s="472"/>
      <c r="BE50" s="472"/>
      <c r="BF50" s="472"/>
      <c r="BG50" s="472"/>
      <c r="BH50" s="472"/>
      <c r="BI50" s="472"/>
    </row>
    <row r="51" spans="1:61" x14ac:dyDescent="0.35">
      <c r="A51" t="s">
        <v>1119</v>
      </c>
      <c r="AV51" s="503">
        <v>0.76859999999999995</v>
      </c>
      <c r="AW51" s="503">
        <v>0.95</v>
      </c>
      <c r="AX51" s="472"/>
      <c r="AY51" s="472"/>
      <c r="AZ51" s="472"/>
      <c r="BA51" s="472"/>
      <c r="BB51" s="472"/>
      <c r="BC51" s="472"/>
      <c r="BD51" s="472"/>
      <c r="BE51" s="472"/>
      <c r="BF51" s="472"/>
      <c r="BG51" s="472"/>
      <c r="BH51" s="472"/>
      <c r="BI51" s="472"/>
    </row>
    <row r="52" spans="1:61" x14ac:dyDescent="0.35">
      <c r="A52" t="s">
        <v>1120</v>
      </c>
      <c r="AV52" s="503">
        <v>0.81840000000000002</v>
      </c>
      <c r="AW52" s="503">
        <v>0.94</v>
      </c>
      <c r="AX52" s="472"/>
      <c r="AY52" s="472"/>
      <c r="AZ52" s="472"/>
      <c r="BA52" s="472"/>
      <c r="BB52" s="472"/>
      <c r="BC52" s="472"/>
      <c r="BD52" s="472"/>
      <c r="BE52" s="472"/>
      <c r="BF52" s="472"/>
      <c r="BG52" s="472"/>
      <c r="BH52" s="472"/>
      <c r="BI52" s="472"/>
    </row>
    <row r="53" spans="1:61" x14ac:dyDescent="0.35">
      <c r="A53" t="s">
        <v>1180</v>
      </c>
      <c r="AV53" s="503">
        <v>0.8659</v>
      </c>
      <c r="AW53" s="503">
        <v>0.93</v>
      </c>
      <c r="AX53" s="472"/>
      <c r="AY53" s="472"/>
      <c r="AZ53" s="472"/>
      <c r="BA53" s="472"/>
      <c r="BB53" s="472"/>
      <c r="BC53" s="472"/>
      <c r="BD53" s="472"/>
      <c r="BE53" s="472"/>
      <c r="BF53" s="472"/>
      <c r="BG53" s="472"/>
      <c r="BH53" s="472"/>
      <c r="BI53" s="472"/>
    </row>
    <row r="54" spans="1:61" x14ac:dyDescent="0.35">
      <c r="A54" t="s">
        <v>1181</v>
      </c>
      <c r="AV54" s="503">
        <v>0.91169999999999995</v>
      </c>
      <c r="AW54" s="503">
        <v>0.92</v>
      </c>
      <c r="AX54" s="472"/>
      <c r="AY54" s="472"/>
      <c r="AZ54" s="472"/>
      <c r="BA54" s="472"/>
      <c r="BB54" s="472"/>
      <c r="BC54" s="472"/>
      <c r="BD54" s="472"/>
      <c r="BE54" s="472"/>
      <c r="BF54" s="472"/>
      <c r="BG54" s="472"/>
      <c r="BH54" s="472"/>
      <c r="BI54" s="472"/>
    </row>
    <row r="55" spans="1:61" x14ac:dyDescent="0.35">
      <c r="A55" t="s">
        <v>1182</v>
      </c>
      <c r="AV55" s="503">
        <v>0.95620000000000005</v>
      </c>
      <c r="AW55" s="503">
        <v>0.91</v>
      </c>
      <c r="AX55" s="472"/>
      <c r="AY55" s="472"/>
      <c r="AZ55" s="472"/>
      <c r="BA55" s="472"/>
      <c r="BB55" s="472"/>
      <c r="BC55" s="472"/>
      <c r="BD55" s="472"/>
      <c r="BE55" s="472"/>
      <c r="BF55" s="472"/>
      <c r="BG55" s="472"/>
      <c r="BH55" s="472"/>
      <c r="BI55" s="472"/>
    </row>
    <row r="56" spans="1:61" x14ac:dyDescent="0.35">
      <c r="A56" t="s">
        <v>1183</v>
      </c>
      <c r="AV56" s="503">
        <v>1</v>
      </c>
      <c r="AW56" s="503">
        <v>0.9</v>
      </c>
      <c r="AX56" s="472"/>
      <c r="AY56" s="472"/>
      <c r="AZ56" s="472"/>
      <c r="BA56" s="472"/>
      <c r="BB56" s="472"/>
      <c r="BC56" s="472"/>
      <c r="BD56" s="472"/>
      <c r="BE56" s="472"/>
      <c r="BF56" s="472"/>
      <c r="BG56" s="472"/>
      <c r="BH56" s="472"/>
      <c r="BI56" s="472"/>
    </row>
    <row r="57" spans="1:61" x14ac:dyDescent="0.35">
      <c r="A57" t="s">
        <v>1184</v>
      </c>
      <c r="AV57" s="503">
        <v>1.0431999999999999</v>
      </c>
      <c r="AW57" s="503">
        <v>0.89</v>
      </c>
      <c r="AX57" s="472"/>
      <c r="AY57" s="472"/>
      <c r="AZ57" s="472"/>
      <c r="BA57" s="472"/>
      <c r="BB57" s="472"/>
      <c r="BC57" s="472"/>
      <c r="BD57" s="472"/>
      <c r="BE57" s="472"/>
      <c r="BF57" s="472"/>
      <c r="BG57" s="472"/>
      <c r="BH57" s="472"/>
      <c r="BI57" s="472"/>
    </row>
    <row r="58" spans="1:61" x14ac:dyDescent="0.35">
      <c r="AV58" s="503">
        <v>1.0860000000000001</v>
      </c>
      <c r="AW58" s="503">
        <v>0.88</v>
      </c>
      <c r="AX58" s="472"/>
      <c r="AY58" s="472"/>
      <c r="AZ58" s="472"/>
      <c r="BA58" s="472"/>
      <c r="BB58" s="472"/>
      <c r="BC58" s="472"/>
      <c r="BD58" s="472"/>
      <c r="BE58" s="472"/>
      <c r="BF58" s="472"/>
      <c r="BG58" s="472"/>
      <c r="BH58" s="472"/>
      <c r="BI58" s="472"/>
    </row>
    <row r="59" spans="1:61" x14ac:dyDescent="0.35">
      <c r="A59" s="46" t="s">
        <v>1185</v>
      </c>
      <c r="AV59" s="503">
        <v>1.1286</v>
      </c>
      <c r="AW59" s="503">
        <v>0.87</v>
      </c>
      <c r="AX59" s="472"/>
      <c r="AY59" s="472"/>
      <c r="AZ59" s="472"/>
      <c r="BA59" s="472"/>
      <c r="BB59" s="472"/>
      <c r="BC59" s="472"/>
      <c r="BD59" s="472"/>
      <c r="BE59" s="472"/>
      <c r="BF59" s="472"/>
      <c r="BG59" s="472"/>
      <c r="BH59" s="472"/>
      <c r="BI59" s="472"/>
    </row>
    <row r="60" spans="1:61" x14ac:dyDescent="0.35">
      <c r="B60" s="508" t="s">
        <v>71</v>
      </c>
      <c r="C60" s="508" t="s">
        <v>72</v>
      </c>
      <c r="D60" s="508" t="s">
        <v>30</v>
      </c>
      <c r="AV60" s="503">
        <v>1.1711</v>
      </c>
      <c r="AW60" s="503">
        <v>0.86</v>
      </c>
      <c r="AX60" s="472"/>
      <c r="AY60" s="472"/>
      <c r="AZ60" s="472"/>
      <c r="BA60" s="472"/>
      <c r="BB60" s="472"/>
      <c r="BC60" s="472"/>
      <c r="BD60" s="472"/>
      <c r="BE60" s="472"/>
      <c r="BF60" s="472"/>
      <c r="BG60" s="472"/>
      <c r="BH60" s="472"/>
      <c r="BI60" s="472"/>
    </row>
    <row r="61" spans="1:61" ht="43.5" x14ac:dyDescent="0.35">
      <c r="A61" s="76" t="s">
        <v>1188</v>
      </c>
      <c r="B61" s="11">
        <f>IF($I$19="Y",(($AV$190*(GIS_inputs!C59/$D$48))+(($AV$190*(GIS_inputs!C58/$D$49)))),0)</f>
        <v>18400</v>
      </c>
      <c r="C61" s="11">
        <f>IF($I$19="Y",(($AV$190*(GIS_inputs!C130/$D$48))+(($AV$190*(GIS_inputs!C129/$D$49)))),0)</f>
        <v>26000</v>
      </c>
      <c r="D61" s="11">
        <f>SUM(B61:C61)</f>
        <v>44400</v>
      </c>
      <c r="AV61" s="503">
        <v>1.2137</v>
      </c>
      <c r="AW61" s="503">
        <v>0.85</v>
      </c>
      <c r="AX61" s="472"/>
      <c r="AY61" s="472"/>
      <c r="AZ61" s="472"/>
      <c r="BA61" s="472"/>
      <c r="BB61" s="472"/>
      <c r="BC61" s="472"/>
      <c r="BD61" s="472"/>
      <c r="BE61" s="472"/>
      <c r="BF61" s="472"/>
      <c r="BG61" s="472"/>
      <c r="BH61" s="472"/>
      <c r="BI61" s="472"/>
    </row>
    <row r="62" spans="1:61" x14ac:dyDescent="0.35">
      <c r="A62" s="2" t="s">
        <v>1187</v>
      </c>
      <c r="B62" s="11">
        <f>(($D$46*(GIS_inputs!C59/$D$48))+(($D$47*(GIS_inputs!C58/$D$49))))</f>
        <v>460</v>
      </c>
      <c r="C62" s="11">
        <f>(($D$46*(GIS_inputs!C130/$D$48))+(($D$47*(GIS_inputs!C129/$D$49))))</f>
        <v>650</v>
      </c>
      <c r="D62" s="11">
        <f>SUM(B62:C62)</f>
        <v>1110</v>
      </c>
      <c r="AV62" s="503">
        <v>1.2565</v>
      </c>
      <c r="AW62" s="503">
        <v>0.84</v>
      </c>
      <c r="AX62" s="472"/>
      <c r="AY62" s="472"/>
      <c r="AZ62" s="472"/>
      <c r="BA62" s="472"/>
      <c r="BB62" s="472"/>
      <c r="BC62" s="472"/>
      <c r="BD62" s="472"/>
      <c r="BE62" s="472"/>
      <c r="BF62" s="472"/>
      <c r="BG62" s="472"/>
      <c r="BH62" s="472"/>
      <c r="BI62" s="472"/>
    </row>
    <row r="63" spans="1:61" x14ac:dyDescent="0.35">
      <c r="AV63" s="503">
        <v>1.2995000000000001</v>
      </c>
      <c r="AW63" s="503">
        <v>0.83</v>
      </c>
      <c r="AX63" s="472"/>
      <c r="AY63" s="472"/>
      <c r="AZ63" s="472"/>
      <c r="BA63" s="472"/>
      <c r="BB63" s="472"/>
      <c r="BC63" s="472"/>
      <c r="BD63" s="472"/>
      <c r="BE63" s="472"/>
      <c r="BF63" s="472"/>
      <c r="BG63" s="472"/>
      <c r="BH63" s="472"/>
      <c r="BI63" s="472"/>
    </row>
    <row r="64" spans="1:61" x14ac:dyDescent="0.35">
      <c r="A64" s="2" t="s">
        <v>75</v>
      </c>
      <c r="B64" s="11">
        <f>SUM(B61:B62)</f>
        <v>18860</v>
      </c>
      <c r="C64" s="11">
        <f>SUM(C61:C62)</f>
        <v>26650</v>
      </c>
      <c r="D64" s="11">
        <f>SUM(D61:D62)</f>
        <v>45510</v>
      </c>
      <c r="AV64" s="503">
        <v>1.3428</v>
      </c>
      <c r="AW64" s="503">
        <v>0.82</v>
      </c>
      <c r="AX64" s="472"/>
      <c r="AY64" s="472"/>
      <c r="AZ64" s="472"/>
      <c r="BA64" s="472"/>
      <c r="BB64" s="472"/>
      <c r="BC64" s="472"/>
      <c r="BD64" s="472"/>
      <c r="BE64" s="472"/>
      <c r="BF64" s="472"/>
      <c r="BG64" s="472"/>
      <c r="BH64" s="472"/>
      <c r="BI64" s="472"/>
    </row>
    <row r="65" spans="48:61" x14ac:dyDescent="0.35">
      <c r="AV65" s="503">
        <v>1.3865000000000001</v>
      </c>
      <c r="AW65" s="503">
        <v>0.81</v>
      </c>
      <c r="AX65" s="472"/>
      <c r="AY65" s="472"/>
      <c r="AZ65" s="472"/>
      <c r="BA65" s="472"/>
      <c r="BB65" s="472"/>
      <c r="BC65" s="472"/>
      <c r="BD65" s="472"/>
      <c r="BE65" s="472"/>
      <c r="BF65" s="472"/>
      <c r="BG65" s="472"/>
      <c r="BH65" s="472"/>
      <c r="BI65" s="472"/>
    </row>
    <row r="66" spans="48:61" x14ac:dyDescent="0.35">
      <c r="AV66" s="503">
        <v>1.4307000000000001</v>
      </c>
      <c r="AW66" s="503">
        <v>0.8</v>
      </c>
      <c r="AX66" s="472"/>
      <c r="AY66" s="472"/>
      <c r="AZ66" s="472"/>
      <c r="BA66" s="472"/>
      <c r="BB66" s="472"/>
      <c r="BC66" s="472"/>
      <c r="BD66" s="472"/>
      <c r="BE66" s="472"/>
      <c r="BF66" s="472"/>
      <c r="BG66" s="472"/>
      <c r="BH66" s="472"/>
      <c r="BI66" s="472"/>
    </row>
    <row r="67" spans="48:61" x14ac:dyDescent="0.35">
      <c r="AV67" s="503">
        <v>1.4754</v>
      </c>
      <c r="AW67" s="503">
        <v>0.79</v>
      </c>
      <c r="AX67" s="472"/>
      <c r="AY67" s="472"/>
      <c r="AZ67" s="472"/>
      <c r="BA67" s="472"/>
      <c r="BB67" s="472"/>
      <c r="BC67" s="472"/>
      <c r="BD67" s="472"/>
      <c r="BE67" s="472"/>
      <c r="BF67" s="472"/>
      <c r="BG67" s="472"/>
      <c r="BH67" s="472"/>
      <c r="BI67" s="472"/>
    </row>
    <row r="68" spans="48:61" x14ac:dyDescent="0.35">
      <c r="AV68" s="503">
        <v>1.5206999999999999</v>
      </c>
      <c r="AW68" s="503">
        <v>0.78</v>
      </c>
      <c r="AX68" s="472"/>
      <c r="AY68" s="472"/>
      <c r="AZ68" s="472"/>
      <c r="BA68" s="472"/>
      <c r="BB68" s="472"/>
      <c r="BC68" s="472"/>
      <c r="BD68" s="472"/>
      <c r="BE68" s="472"/>
      <c r="BF68" s="472"/>
      <c r="BG68" s="472"/>
      <c r="BH68" s="472"/>
      <c r="BI68" s="472"/>
    </row>
    <row r="69" spans="48:61" x14ac:dyDescent="0.35">
      <c r="AV69" s="503">
        <v>1.5667</v>
      </c>
      <c r="AW69" s="503">
        <v>0.77</v>
      </c>
      <c r="AX69" s="472"/>
      <c r="AY69" s="472"/>
      <c r="AZ69" s="472"/>
      <c r="BA69" s="472"/>
      <c r="BB69" s="472"/>
      <c r="BC69" s="472"/>
      <c r="BD69" s="472"/>
      <c r="BE69" s="472"/>
      <c r="BF69" s="472"/>
      <c r="BG69" s="472"/>
      <c r="BH69" s="472"/>
      <c r="BI69" s="472"/>
    </row>
    <row r="70" spans="48:61" x14ac:dyDescent="0.35">
      <c r="AV70" s="503">
        <v>1.6134999999999999</v>
      </c>
      <c r="AW70" s="503">
        <v>0.76</v>
      </c>
      <c r="AX70" s="472"/>
      <c r="AY70" s="472"/>
      <c r="AZ70" s="472"/>
      <c r="BA70" s="472"/>
      <c r="BB70" s="472"/>
      <c r="BC70" s="472"/>
      <c r="BD70" s="472"/>
      <c r="BE70" s="472"/>
      <c r="BF70" s="472"/>
      <c r="BG70" s="472"/>
      <c r="BH70" s="472"/>
      <c r="BI70" s="472"/>
    </row>
    <row r="71" spans="48:61" x14ac:dyDescent="0.35">
      <c r="AV71" s="503">
        <v>1.661</v>
      </c>
      <c r="AW71" s="503">
        <v>0.75</v>
      </c>
      <c r="AX71" s="472"/>
      <c r="AY71" s="472"/>
      <c r="AZ71" s="472"/>
      <c r="BA71" s="472"/>
      <c r="BB71" s="472"/>
      <c r="BC71" s="472"/>
      <c r="BD71" s="472"/>
      <c r="BE71" s="472"/>
      <c r="BF71" s="472"/>
      <c r="BG71" s="472"/>
      <c r="BH71" s="472"/>
      <c r="BI71" s="472"/>
    </row>
    <row r="72" spans="48:61" x14ac:dyDescent="0.35">
      <c r="AV72" s="503">
        <v>1.7093</v>
      </c>
      <c r="AW72" s="503">
        <v>0.74</v>
      </c>
      <c r="AX72" s="472"/>
      <c r="AY72" s="472"/>
      <c r="AZ72" s="472"/>
      <c r="BA72" s="472"/>
      <c r="BB72" s="472"/>
      <c r="BC72" s="472"/>
      <c r="BD72" s="472"/>
      <c r="BE72" s="472"/>
      <c r="BF72" s="472"/>
      <c r="BG72" s="472"/>
    </row>
    <row r="73" spans="48:61" x14ac:dyDescent="0.35">
      <c r="AV73" s="503">
        <v>1.7585999999999999</v>
      </c>
      <c r="AW73" s="503">
        <v>0.73</v>
      </c>
      <c r="AX73" s="472"/>
      <c r="AY73" s="472"/>
      <c r="AZ73" s="472"/>
      <c r="BA73" s="472"/>
      <c r="BB73" s="472"/>
      <c r="BC73" s="472"/>
      <c r="BD73" s="472"/>
      <c r="BE73" s="472"/>
      <c r="BF73" s="472"/>
      <c r="BG73" s="472"/>
    </row>
    <row r="74" spans="48:61" x14ac:dyDescent="0.35">
      <c r="AV74" s="503">
        <v>1.8088</v>
      </c>
      <c r="AW74" s="503">
        <v>0.72</v>
      </c>
      <c r="AX74" s="472"/>
      <c r="AY74" s="472"/>
      <c r="AZ74" s="472"/>
      <c r="BA74" s="472"/>
      <c r="BB74" s="472"/>
      <c r="BC74" s="472"/>
      <c r="BD74" s="472"/>
      <c r="BE74" s="472"/>
      <c r="BF74" s="472"/>
      <c r="BG74" s="472"/>
    </row>
    <row r="75" spans="48:61" x14ac:dyDescent="0.35">
      <c r="AV75" s="503">
        <v>1.8601000000000001</v>
      </c>
      <c r="AW75" s="503">
        <v>0.71</v>
      </c>
      <c r="AX75" s="472"/>
      <c r="AY75" s="472"/>
      <c r="AZ75" s="472"/>
      <c r="BA75" s="472"/>
      <c r="BB75" s="472"/>
      <c r="BC75" s="472"/>
      <c r="BD75" s="472"/>
      <c r="BE75" s="472"/>
      <c r="BF75" s="472"/>
      <c r="BG75" s="472"/>
    </row>
    <row r="76" spans="48:61" x14ac:dyDescent="0.35">
      <c r="AV76" s="503">
        <v>1.9125000000000001</v>
      </c>
      <c r="AW76" s="503">
        <v>0.7</v>
      </c>
      <c r="AX76" s="472"/>
      <c r="AY76" s="472"/>
      <c r="AZ76" s="472"/>
      <c r="BA76" s="472"/>
      <c r="BB76" s="472"/>
      <c r="BC76" s="472"/>
      <c r="BD76" s="472"/>
      <c r="BE76" s="472"/>
      <c r="BF76" s="472"/>
      <c r="BG76" s="472"/>
    </row>
    <row r="77" spans="48:61" x14ac:dyDescent="0.35">
      <c r="AV77" s="503">
        <v>1.966</v>
      </c>
      <c r="AW77" s="503">
        <v>0.69</v>
      </c>
      <c r="AX77" s="472"/>
      <c r="AY77" s="472"/>
      <c r="AZ77" s="472"/>
      <c r="BA77" s="472"/>
      <c r="BB77" s="472"/>
      <c r="BC77" s="472"/>
      <c r="BD77" s="472"/>
      <c r="BE77" s="472"/>
      <c r="BF77" s="472"/>
      <c r="BG77" s="472"/>
    </row>
    <row r="78" spans="48:61" x14ac:dyDescent="0.35">
      <c r="AV78" s="503">
        <v>2.0207999999999999</v>
      </c>
      <c r="AW78" s="503">
        <v>0.68</v>
      </c>
      <c r="AX78" s="472"/>
      <c r="AY78" s="472"/>
      <c r="AZ78" s="472"/>
      <c r="BA78" s="472"/>
      <c r="BB78" s="472"/>
      <c r="BC78" s="472"/>
      <c r="BD78" s="472"/>
      <c r="BE78" s="472"/>
      <c r="BF78" s="472"/>
      <c r="BG78" s="472"/>
    </row>
    <row r="79" spans="48:61" x14ac:dyDescent="0.35">
      <c r="AV79" s="503">
        <v>2.0769000000000002</v>
      </c>
      <c r="AW79" s="503">
        <v>0.67</v>
      </c>
      <c r="AX79" s="472"/>
      <c r="AY79" s="472"/>
      <c r="AZ79" s="472"/>
      <c r="BA79" s="472"/>
      <c r="BB79" s="472"/>
      <c r="BC79" s="472"/>
      <c r="BD79" s="472"/>
      <c r="BE79" s="472"/>
      <c r="BF79" s="472"/>
      <c r="BG79" s="472"/>
    </row>
    <row r="80" spans="48:61" x14ac:dyDescent="0.35">
      <c r="AV80" s="503">
        <v>2.1343999999999999</v>
      </c>
      <c r="AW80" s="503">
        <v>0.66</v>
      </c>
      <c r="AX80" s="472"/>
      <c r="AY80" s="472"/>
      <c r="AZ80" s="472"/>
      <c r="BA80" s="472"/>
      <c r="BB80" s="472"/>
      <c r="BC80" s="472"/>
      <c r="BD80" s="472"/>
      <c r="BE80" s="472"/>
      <c r="BF80" s="472"/>
      <c r="BG80" s="472"/>
    </row>
    <row r="81" spans="48:59" x14ac:dyDescent="0.35">
      <c r="AV81" s="503">
        <v>2.1932999999999998</v>
      </c>
      <c r="AW81" s="503">
        <v>0.65</v>
      </c>
      <c r="AX81" s="472"/>
      <c r="AY81" s="472"/>
      <c r="AZ81" s="472"/>
      <c r="BA81" s="472"/>
      <c r="BB81" s="472"/>
      <c r="BC81" s="472"/>
      <c r="BD81" s="472"/>
      <c r="BE81" s="472"/>
      <c r="BF81" s="472"/>
      <c r="BG81" s="472"/>
    </row>
    <row r="82" spans="48:59" x14ac:dyDescent="0.35">
      <c r="AV82" s="503">
        <v>2.2538</v>
      </c>
      <c r="AW82" s="503">
        <v>0.64</v>
      </c>
      <c r="AX82" s="472"/>
      <c r="AY82" s="472"/>
      <c r="AZ82" s="472"/>
      <c r="BA82" s="472"/>
      <c r="BB82" s="472"/>
      <c r="BC82" s="472"/>
      <c r="BD82" s="472"/>
      <c r="BE82" s="472"/>
      <c r="BF82" s="472"/>
      <c r="BG82" s="472"/>
    </row>
    <row r="83" spans="48:59" x14ac:dyDescent="0.35">
      <c r="AV83" s="503">
        <v>2.3159000000000001</v>
      </c>
      <c r="AW83" s="503">
        <v>0.63</v>
      </c>
      <c r="AX83" s="472"/>
      <c r="AY83" s="472"/>
      <c r="AZ83" s="472"/>
      <c r="BA83" s="472"/>
      <c r="BB83" s="472"/>
      <c r="BC83" s="472"/>
      <c r="BD83" s="472"/>
      <c r="BE83" s="472"/>
      <c r="BF83" s="472"/>
      <c r="BG83" s="472"/>
    </row>
    <row r="84" spans="48:59" x14ac:dyDescent="0.35">
      <c r="AV84" s="503">
        <v>2.3797000000000001</v>
      </c>
      <c r="AW84" s="503">
        <v>0.62</v>
      </c>
      <c r="AX84" s="472"/>
      <c r="AY84" s="472"/>
      <c r="AZ84" s="472"/>
      <c r="BA84" s="472"/>
      <c r="BB84" s="472"/>
      <c r="BC84" s="472"/>
      <c r="BD84" s="472"/>
      <c r="BE84" s="472"/>
      <c r="BF84" s="472"/>
      <c r="BG84" s="472"/>
    </row>
    <row r="85" spans="48:59" x14ac:dyDescent="0.35">
      <c r="AV85" s="503">
        <v>2.4453999999999998</v>
      </c>
      <c r="AW85" s="503">
        <v>0.61</v>
      </c>
      <c r="AX85" s="472"/>
      <c r="AY85" s="472"/>
      <c r="AZ85" s="472"/>
      <c r="BA85" s="472"/>
      <c r="BB85" s="472"/>
      <c r="BC85" s="472"/>
      <c r="BD85" s="472"/>
      <c r="BE85" s="472"/>
      <c r="BF85" s="472"/>
      <c r="BG85" s="472"/>
    </row>
    <row r="86" spans="48:59" x14ac:dyDescent="0.35">
      <c r="AV86" s="503">
        <v>2.5129000000000001</v>
      </c>
      <c r="AW86" s="503">
        <v>0.6</v>
      </c>
      <c r="AX86" s="472"/>
      <c r="AY86" s="472"/>
      <c r="AZ86" s="472"/>
      <c r="BA86" s="472"/>
      <c r="BB86" s="472"/>
      <c r="BC86" s="472"/>
      <c r="BD86" s="472"/>
      <c r="BE86" s="472"/>
      <c r="BF86" s="472"/>
      <c r="BG86" s="472"/>
    </row>
    <row r="87" spans="48:59" x14ac:dyDescent="0.35">
      <c r="AV87" s="503">
        <v>2.5825</v>
      </c>
      <c r="AW87" s="503">
        <v>0.59</v>
      </c>
      <c r="AX87" s="472"/>
      <c r="AY87" s="472"/>
      <c r="AZ87" s="472"/>
      <c r="BA87" s="472"/>
      <c r="BB87" s="472"/>
      <c r="BC87" s="472"/>
      <c r="BD87" s="472"/>
      <c r="BE87" s="472"/>
      <c r="BF87" s="472"/>
      <c r="BG87" s="472"/>
    </row>
    <row r="88" spans="48:59" x14ac:dyDescent="0.35">
      <c r="AV88" s="503">
        <v>2.6543000000000001</v>
      </c>
      <c r="AW88" s="503">
        <v>0.57999999999999996</v>
      </c>
      <c r="AX88" s="472"/>
      <c r="AY88" s="472"/>
      <c r="AZ88" s="472"/>
      <c r="BA88" s="472"/>
      <c r="BB88" s="472"/>
      <c r="BC88" s="472"/>
      <c r="BD88" s="472"/>
      <c r="BE88" s="472"/>
      <c r="BF88" s="472"/>
      <c r="BG88" s="472"/>
    </row>
    <row r="89" spans="48:59" x14ac:dyDescent="0.35">
      <c r="AV89" s="503">
        <v>2.7282999999999999</v>
      </c>
      <c r="AW89" s="503">
        <v>0.56999999999999995</v>
      </c>
      <c r="AX89" s="472"/>
      <c r="AY89" s="472"/>
      <c r="AZ89" s="472"/>
      <c r="BA89" s="472"/>
      <c r="BB89" s="472"/>
      <c r="BC89" s="472"/>
      <c r="BD89" s="472"/>
      <c r="BE89" s="472"/>
      <c r="BF89" s="472"/>
      <c r="BG89" s="472"/>
    </row>
    <row r="90" spans="48:59" x14ac:dyDescent="0.35">
      <c r="AV90" s="503">
        <v>2.8047</v>
      </c>
      <c r="AW90" s="503">
        <v>0.56000000000000005</v>
      </c>
      <c r="AX90" s="472"/>
      <c r="AY90" s="472"/>
      <c r="AZ90" s="472"/>
      <c r="BA90" s="472"/>
      <c r="BB90" s="472"/>
      <c r="BC90" s="472"/>
      <c r="BD90" s="472"/>
      <c r="BE90" s="472"/>
      <c r="BF90" s="472"/>
      <c r="BG90" s="472"/>
    </row>
    <row r="91" spans="48:59" x14ac:dyDescent="0.35">
      <c r="AV91" s="503">
        <v>2.8835999999999999</v>
      </c>
      <c r="AW91" s="503">
        <v>0.55000000000000004</v>
      </c>
      <c r="AX91" s="472"/>
      <c r="AY91" s="472"/>
      <c r="AZ91" s="472"/>
      <c r="BA91" s="472"/>
      <c r="BB91" s="472"/>
      <c r="BC91" s="472"/>
      <c r="BD91" s="472"/>
      <c r="BE91" s="472"/>
      <c r="BF91" s="472"/>
      <c r="BG91" s="472"/>
    </row>
    <row r="92" spans="48:59" x14ac:dyDescent="0.35">
      <c r="AV92" s="503">
        <v>2.9651999999999998</v>
      </c>
      <c r="AW92" s="503">
        <v>0.54</v>
      </c>
      <c r="AX92" s="472"/>
      <c r="AY92" s="472"/>
      <c r="AZ92" s="472"/>
      <c r="BA92" s="472"/>
      <c r="BB92" s="472"/>
      <c r="BC92" s="472"/>
      <c r="BD92" s="472"/>
      <c r="BE92" s="472"/>
      <c r="BF92" s="472"/>
      <c r="BG92" s="472"/>
    </row>
    <row r="93" spans="48:59" x14ac:dyDescent="0.35">
      <c r="AV93" s="503">
        <v>3.0497000000000001</v>
      </c>
      <c r="AW93" s="503">
        <v>0.53</v>
      </c>
      <c r="AX93" s="472"/>
      <c r="AY93" s="472"/>
      <c r="AZ93" s="472"/>
      <c r="BA93" s="472"/>
      <c r="BB93" s="472"/>
      <c r="BC93" s="472"/>
      <c r="BD93" s="472"/>
      <c r="BE93" s="472"/>
      <c r="BF93" s="472"/>
      <c r="BG93" s="472"/>
    </row>
    <row r="94" spans="48:59" x14ac:dyDescent="0.35">
      <c r="AV94" s="503">
        <v>3.1372</v>
      </c>
      <c r="AW94" s="503">
        <v>0.52</v>
      </c>
      <c r="AX94" s="472"/>
      <c r="AY94" s="472"/>
      <c r="AZ94" s="472"/>
      <c r="BA94" s="472"/>
      <c r="BB94" s="472"/>
      <c r="BC94" s="472"/>
      <c r="BD94" s="472"/>
      <c r="BE94" s="472"/>
      <c r="BF94" s="472"/>
      <c r="BG94" s="472"/>
    </row>
    <row r="95" spans="48:59" x14ac:dyDescent="0.35">
      <c r="AV95" s="503">
        <v>3.2277999999999998</v>
      </c>
      <c r="AW95" s="503">
        <v>0.51</v>
      </c>
      <c r="AX95" s="472"/>
      <c r="AY95" s="472"/>
      <c r="AZ95" s="472"/>
      <c r="BA95" s="472"/>
      <c r="BB95" s="472"/>
      <c r="BC95" s="472"/>
      <c r="BD95" s="472"/>
      <c r="BE95" s="472"/>
      <c r="BF95" s="472"/>
      <c r="BG95" s="472"/>
    </row>
    <row r="96" spans="48:59" x14ac:dyDescent="0.35">
      <c r="AV96" s="503">
        <v>3.3218999999999999</v>
      </c>
      <c r="AW96" s="503">
        <v>0.5</v>
      </c>
      <c r="AX96" s="472"/>
      <c r="AY96" s="472"/>
      <c r="AZ96" s="472"/>
      <c r="BA96" s="472"/>
      <c r="BB96" s="472"/>
      <c r="BC96" s="472"/>
      <c r="BD96" s="472"/>
      <c r="BE96" s="472"/>
      <c r="BF96" s="472"/>
      <c r="BG96" s="472"/>
    </row>
    <row r="97" spans="48:59" x14ac:dyDescent="0.35">
      <c r="AV97" s="503">
        <v>3.4196</v>
      </c>
      <c r="AW97" s="503">
        <v>0.49</v>
      </c>
      <c r="AX97" s="472"/>
      <c r="AY97" s="472"/>
      <c r="AZ97" s="472"/>
      <c r="BA97" s="472"/>
      <c r="BB97" s="472"/>
      <c r="BC97" s="472"/>
      <c r="BD97" s="472"/>
      <c r="BE97" s="472"/>
      <c r="BF97" s="472"/>
      <c r="BG97" s="472"/>
    </row>
    <row r="98" spans="48:59" x14ac:dyDescent="0.35">
      <c r="AV98" s="503">
        <v>3.5211999999999999</v>
      </c>
      <c r="AW98" s="503">
        <v>0.48</v>
      </c>
      <c r="AX98" s="472"/>
      <c r="AY98" s="472"/>
      <c r="AZ98" s="472"/>
      <c r="BA98" s="472"/>
      <c r="BB98" s="472"/>
      <c r="BC98" s="472"/>
      <c r="BD98" s="472"/>
      <c r="BE98" s="472"/>
      <c r="BF98" s="472"/>
      <c r="BG98" s="472"/>
    </row>
    <row r="99" spans="48:59" x14ac:dyDescent="0.35">
      <c r="AV99" s="503">
        <v>3.6267999999999998</v>
      </c>
      <c r="AW99" s="503">
        <v>0.47</v>
      </c>
      <c r="AX99" s="472"/>
      <c r="AY99" s="472"/>
      <c r="AZ99" s="472"/>
      <c r="BA99" s="472"/>
      <c r="BB99" s="472"/>
      <c r="BC99" s="472"/>
      <c r="BD99" s="472"/>
      <c r="BE99" s="472"/>
      <c r="BF99" s="472"/>
      <c r="BG99" s="472"/>
    </row>
    <row r="100" spans="48:59" x14ac:dyDescent="0.35">
      <c r="AV100" s="503">
        <v>3.7368000000000001</v>
      </c>
      <c r="AW100" s="503">
        <v>0.46</v>
      </c>
      <c r="AX100" s="472"/>
      <c r="AY100" s="472"/>
      <c r="AZ100" s="472"/>
      <c r="BA100" s="472"/>
      <c r="BB100" s="472"/>
      <c r="BC100" s="472"/>
      <c r="BD100" s="472"/>
      <c r="BE100" s="472"/>
      <c r="BF100" s="472"/>
      <c r="BG100" s="472"/>
    </row>
    <row r="101" spans="48:59" x14ac:dyDescent="0.35">
      <c r="AV101" s="503">
        <v>3.8515000000000001</v>
      </c>
      <c r="AW101" s="503">
        <v>0.45</v>
      </c>
      <c r="AX101" s="472"/>
      <c r="AY101" s="472"/>
      <c r="AZ101" s="472"/>
      <c r="BA101" s="472"/>
      <c r="BB101" s="472"/>
      <c r="BC101" s="472"/>
      <c r="BD101" s="472"/>
      <c r="BE101" s="472"/>
      <c r="BF101" s="472"/>
      <c r="BG101" s="472"/>
    </row>
    <row r="102" spans="48:59" x14ac:dyDescent="0.35">
      <c r="AV102" s="503">
        <v>3.9712000000000001</v>
      </c>
      <c r="AW102" s="503">
        <v>0.44</v>
      </c>
      <c r="AX102" s="472"/>
      <c r="AY102" s="472"/>
      <c r="AZ102" s="472"/>
      <c r="BA102" s="472"/>
      <c r="BB102" s="472"/>
      <c r="BC102" s="472"/>
      <c r="BD102" s="472"/>
      <c r="BE102" s="472"/>
      <c r="BF102" s="472"/>
      <c r="BG102" s="472"/>
    </row>
    <row r="103" spans="48:59" x14ac:dyDescent="0.35">
      <c r="AV103" s="503">
        <v>4.0963000000000003</v>
      </c>
      <c r="AW103" s="503">
        <v>0.43</v>
      </c>
      <c r="AX103" s="472"/>
      <c r="AY103" s="472"/>
      <c r="AZ103" s="472"/>
      <c r="BA103" s="472"/>
      <c r="BB103" s="472"/>
      <c r="BC103" s="472"/>
      <c r="BD103" s="472"/>
      <c r="BE103" s="472"/>
      <c r="BF103" s="472"/>
      <c r="BG103" s="472"/>
    </row>
    <row r="104" spans="48:59" x14ac:dyDescent="0.35">
      <c r="AV104" s="503">
        <v>4.2270000000000003</v>
      </c>
      <c r="AW104" s="503">
        <v>0.42</v>
      </c>
      <c r="AX104" s="472"/>
      <c r="AY104" s="472"/>
      <c r="AZ104" s="472"/>
      <c r="BA104" s="472"/>
      <c r="BB104" s="472"/>
      <c r="BC104" s="472"/>
      <c r="BD104" s="472"/>
      <c r="BE104" s="472"/>
      <c r="BF104" s="472"/>
      <c r="BG104" s="472"/>
    </row>
    <row r="105" spans="48:59" x14ac:dyDescent="0.35">
      <c r="AV105" s="503">
        <v>4.3639999999999999</v>
      </c>
      <c r="AW105" s="503">
        <v>0.41</v>
      </c>
      <c r="AX105" s="472"/>
      <c r="AY105" s="472"/>
      <c r="AZ105" s="472"/>
      <c r="BA105" s="472"/>
      <c r="BB105" s="472"/>
      <c r="BC105" s="472"/>
      <c r="BD105" s="472"/>
      <c r="BE105" s="472"/>
      <c r="BF105" s="472"/>
      <c r="BG105" s="472"/>
    </row>
    <row r="106" spans="48:59" x14ac:dyDescent="0.35">
      <c r="AV106" s="503">
        <v>4.5076000000000001</v>
      </c>
      <c r="AW106" s="503">
        <v>0.4</v>
      </c>
      <c r="AX106" s="472"/>
      <c r="AY106" s="472"/>
      <c r="AZ106" s="472"/>
      <c r="BA106" s="472"/>
      <c r="BB106" s="472"/>
      <c r="BC106" s="472"/>
      <c r="BD106" s="472"/>
      <c r="BE106" s="472"/>
      <c r="BF106" s="472"/>
      <c r="BG106" s="472"/>
    </row>
    <row r="107" spans="48:59" x14ac:dyDescent="0.35">
      <c r="AV107" s="503">
        <v>4.6582999999999997</v>
      </c>
      <c r="AW107" s="503">
        <v>0.39</v>
      </c>
      <c r="AX107" s="472"/>
      <c r="AY107" s="472"/>
      <c r="AZ107" s="472"/>
      <c r="BA107" s="472"/>
      <c r="BB107" s="472"/>
      <c r="BC107" s="472"/>
      <c r="BD107" s="472"/>
      <c r="BE107" s="472"/>
      <c r="BF107" s="472"/>
      <c r="BG107" s="472"/>
    </row>
    <row r="108" spans="48:59" x14ac:dyDescent="0.35">
      <c r="AV108" s="503">
        <v>4.8167999999999997</v>
      </c>
      <c r="AW108" s="503">
        <v>0.38</v>
      </c>
      <c r="AX108" s="472"/>
      <c r="AY108" s="472"/>
      <c r="AZ108" s="472"/>
      <c r="BA108" s="472"/>
      <c r="BB108" s="472"/>
      <c r="BC108" s="472"/>
      <c r="BD108" s="472"/>
      <c r="BE108" s="472"/>
      <c r="BF108" s="472"/>
      <c r="BG108" s="472"/>
    </row>
    <row r="109" spans="48:59" x14ac:dyDescent="0.35">
      <c r="AV109" s="503">
        <v>4.9836</v>
      </c>
      <c r="AW109" s="503">
        <v>0.37</v>
      </c>
      <c r="AX109" s="472"/>
      <c r="AY109" s="472"/>
      <c r="AZ109" s="472"/>
      <c r="BA109" s="472"/>
      <c r="BB109" s="472"/>
      <c r="BC109" s="472"/>
      <c r="BD109" s="472"/>
      <c r="BE109" s="472"/>
      <c r="BF109" s="472"/>
      <c r="BG109" s="472"/>
    </row>
    <row r="110" spans="48:59" x14ac:dyDescent="0.35">
      <c r="AV110" s="503">
        <v>5.1593999999999998</v>
      </c>
      <c r="AW110" s="503">
        <v>0.36</v>
      </c>
      <c r="AX110" s="472"/>
      <c r="AY110" s="472"/>
      <c r="AZ110" s="472"/>
      <c r="BA110" s="472"/>
      <c r="BB110" s="472"/>
      <c r="BC110" s="472"/>
      <c r="BD110" s="472"/>
      <c r="BE110" s="472"/>
      <c r="BF110" s="472"/>
      <c r="BG110" s="472"/>
    </row>
    <row r="111" spans="48:59" x14ac:dyDescent="0.35">
      <c r="AV111" s="503">
        <v>5.3451000000000004</v>
      </c>
      <c r="AW111" s="503">
        <v>0.35</v>
      </c>
      <c r="AX111" s="472"/>
      <c r="AY111" s="472"/>
      <c r="AZ111" s="472"/>
      <c r="BA111" s="472"/>
      <c r="BB111" s="472"/>
      <c r="BC111" s="472"/>
      <c r="BD111" s="472"/>
      <c r="BE111" s="472"/>
      <c r="BF111" s="472"/>
      <c r="BG111" s="472"/>
    </row>
    <row r="112" spans="48:59" x14ac:dyDescent="0.35">
      <c r="AV112" s="503">
        <v>5.5415000000000001</v>
      </c>
      <c r="AW112" s="503">
        <v>0.34</v>
      </c>
      <c r="AX112" s="472"/>
      <c r="AY112" s="472"/>
      <c r="AZ112" s="472"/>
      <c r="BA112" s="472"/>
      <c r="BB112" s="472"/>
      <c r="BC112" s="472"/>
      <c r="BD112" s="472"/>
      <c r="BE112" s="472"/>
      <c r="BF112" s="472"/>
      <c r="BG112" s="472"/>
    </row>
    <row r="113" spans="48:59" x14ac:dyDescent="0.35">
      <c r="AV113" s="503">
        <v>5.7496</v>
      </c>
      <c r="AW113" s="503">
        <v>0.33</v>
      </c>
      <c r="AX113" s="472"/>
      <c r="AY113" s="472"/>
      <c r="AZ113" s="472"/>
      <c r="BA113" s="472"/>
      <c r="BB113" s="472"/>
      <c r="BC113" s="472"/>
      <c r="BD113" s="472"/>
      <c r="BE113" s="472"/>
      <c r="BF113" s="472"/>
      <c r="BG113" s="472"/>
    </row>
    <row r="114" spans="48:59" x14ac:dyDescent="0.35">
      <c r="AV114" s="503">
        <v>5.9705000000000004</v>
      </c>
      <c r="AW114" s="503">
        <v>0.32</v>
      </c>
      <c r="AX114" s="472"/>
      <c r="AY114" s="472"/>
      <c r="AZ114" s="472"/>
      <c r="BA114" s="472"/>
      <c r="BB114" s="472"/>
      <c r="BC114" s="472"/>
      <c r="BD114" s="472"/>
      <c r="BE114" s="472"/>
      <c r="BF114" s="472"/>
      <c r="BG114" s="472"/>
    </row>
    <row r="115" spans="48:59" x14ac:dyDescent="0.35">
      <c r="AV115" s="503">
        <v>6.2054</v>
      </c>
      <c r="AW115" s="503">
        <v>0.31</v>
      </c>
      <c r="AX115" s="472"/>
      <c r="AY115" s="472"/>
      <c r="AZ115" s="472"/>
      <c r="BA115" s="472"/>
      <c r="BB115" s="472"/>
      <c r="BC115" s="472"/>
      <c r="BD115" s="472"/>
      <c r="BE115" s="472"/>
      <c r="BF115" s="472"/>
      <c r="BG115" s="472"/>
    </row>
    <row r="116" spans="48:59" x14ac:dyDescent="0.35">
      <c r="AV116" s="503">
        <v>6.4557000000000002</v>
      </c>
      <c r="AW116" s="503">
        <v>0.3</v>
      </c>
      <c r="AX116" s="472"/>
      <c r="AY116" s="472"/>
      <c r="AZ116" s="472"/>
      <c r="BA116" s="472"/>
      <c r="BB116" s="472"/>
      <c r="BC116" s="472"/>
      <c r="BD116" s="472"/>
      <c r="BE116" s="472"/>
      <c r="BF116" s="472"/>
      <c r="BG116" s="472"/>
    </row>
    <row r="117" spans="48:59" x14ac:dyDescent="0.35">
      <c r="AV117" s="503">
        <v>6.7230999999999996</v>
      </c>
      <c r="AW117" s="503">
        <v>0.28999999999999998</v>
      </c>
      <c r="AX117" s="472"/>
      <c r="AY117" s="472"/>
      <c r="AZ117" s="472"/>
      <c r="BA117" s="472"/>
      <c r="BB117" s="472"/>
      <c r="BC117" s="472"/>
      <c r="BD117" s="472"/>
      <c r="BE117" s="472"/>
      <c r="BF117" s="472"/>
      <c r="BG117" s="472"/>
    </row>
    <row r="118" spans="48:59" x14ac:dyDescent="0.35">
      <c r="AV118" s="503">
        <v>7.0092999999999996</v>
      </c>
      <c r="AW118" s="503">
        <v>0.28000000000000003</v>
      </c>
      <c r="AX118" s="472"/>
      <c r="AY118" s="472"/>
      <c r="AZ118" s="472"/>
      <c r="BA118" s="472"/>
      <c r="BB118" s="472"/>
      <c r="BC118" s="472"/>
      <c r="BD118" s="472"/>
      <c r="BE118" s="472"/>
      <c r="BF118" s="472"/>
      <c r="BG118" s="472"/>
    </row>
    <row r="119" spans="48:59" x14ac:dyDescent="0.35">
      <c r="AV119" s="503">
        <v>7.3164999999999996</v>
      </c>
      <c r="AW119" s="503">
        <v>0.27</v>
      </c>
      <c r="AX119" s="472"/>
      <c r="AY119" s="472"/>
      <c r="AZ119" s="472"/>
      <c r="BA119" s="472"/>
      <c r="BB119" s="472"/>
      <c r="BC119" s="472"/>
      <c r="BD119" s="472"/>
      <c r="BE119" s="472"/>
      <c r="BF119" s="472"/>
      <c r="BG119" s="472"/>
    </row>
    <row r="120" spans="48:59" x14ac:dyDescent="0.35">
      <c r="AV120" s="503">
        <v>7.6471</v>
      </c>
      <c r="AW120" s="503">
        <v>0.26</v>
      </c>
      <c r="AX120" s="472"/>
      <c r="AY120" s="472"/>
      <c r="AZ120" s="472"/>
      <c r="BA120" s="472"/>
      <c r="BB120" s="472"/>
      <c r="BC120" s="472"/>
      <c r="BD120" s="472"/>
      <c r="BE120" s="472"/>
      <c r="BF120" s="472"/>
      <c r="BG120" s="472"/>
    </row>
    <row r="121" spans="48:59" x14ac:dyDescent="0.35">
      <c r="AV121" s="503">
        <v>8.0038999999999998</v>
      </c>
      <c r="AW121" s="503">
        <v>0.25</v>
      </c>
      <c r="AX121" s="472"/>
      <c r="AY121" s="472"/>
      <c r="AZ121" s="472"/>
      <c r="BA121" s="472"/>
      <c r="BB121" s="472"/>
      <c r="BC121" s="472"/>
      <c r="BD121" s="472"/>
      <c r="BE121" s="472"/>
      <c r="BF121" s="472"/>
      <c r="BG121" s="472"/>
    </row>
    <row r="122" spans="48:59" x14ac:dyDescent="0.35">
      <c r="AV122" s="503">
        <v>8.3902000000000001</v>
      </c>
      <c r="AW122" s="503">
        <v>0.24</v>
      </c>
      <c r="AX122" s="472"/>
      <c r="AY122" s="472"/>
      <c r="AZ122" s="472"/>
      <c r="BA122" s="472"/>
      <c r="BB122" s="472"/>
      <c r="BC122" s="472"/>
      <c r="BD122" s="472"/>
      <c r="BE122" s="472"/>
      <c r="BF122" s="472"/>
      <c r="BG122" s="472"/>
    </row>
    <row r="123" spans="48:59" x14ac:dyDescent="0.35">
      <c r="AV123" s="503">
        <v>8.8099000000000007</v>
      </c>
      <c r="AW123" s="503">
        <v>0.23</v>
      </c>
      <c r="AX123" s="472"/>
      <c r="AY123" s="472"/>
      <c r="AZ123" s="472"/>
      <c r="BA123" s="472"/>
      <c r="BB123" s="472"/>
      <c r="BC123" s="472"/>
      <c r="BD123" s="472"/>
      <c r="BE123" s="472"/>
      <c r="BF123" s="472"/>
      <c r="BG123" s="472"/>
    </row>
    <row r="124" spans="48:59" x14ac:dyDescent="0.35">
      <c r="AV124" s="503">
        <v>9.2674000000000003</v>
      </c>
      <c r="AW124" s="503">
        <v>0.22</v>
      </c>
      <c r="AX124" s="472"/>
      <c r="AY124" s="472"/>
      <c r="AZ124" s="472"/>
      <c r="BA124" s="472"/>
      <c r="BB124" s="472"/>
      <c r="BC124" s="472"/>
      <c r="BD124" s="472"/>
      <c r="BE124" s="472"/>
      <c r="BF124" s="472"/>
      <c r="BG124" s="472"/>
    </row>
    <row r="125" spans="48:59" x14ac:dyDescent="0.35">
      <c r="AV125" s="503">
        <v>9.7682000000000002</v>
      </c>
      <c r="AW125" s="503">
        <v>0.21</v>
      </c>
      <c r="AX125" s="472"/>
      <c r="AY125" s="472"/>
      <c r="AZ125" s="472"/>
      <c r="BA125" s="472"/>
      <c r="BB125" s="472"/>
      <c r="BC125" s="472"/>
      <c r="BD125" s="472"/>
      <c r="BE125" s="472"/>
      <c r="BF125" s="472"/>
      <c r="BG125" s="472"/>
    </row>
    <row r="126" spans="48:59" x14ac:dyDescent="0.35">
      <c r="AV126" s="503">
        <v>10.318899999999999</v>
      </c>
      <c r="AW126" s="503">
        <v>0.2</v>
      </c>
      <c r="AX126" s="472"/>
      <c r="AY126" s="472"/>
      <c r="AZ126" s="472"/>
      <c r="BA126" s="472"/>
      <c r="BB126" s="472"/>
      <c r="BC126" s="472"/>
      <c r="BD126" s="472"/>
      <c r="BE126" s="472"/>
      <c r="BF126" s="472"/>
      <c r="BG126" s="472"/>
    </row>
    <row r="127" spans="48:59" x14ac:dyDescent="0.35">
      <c r="AV127" s="503">
        <v>10.927199999999999</v>
      </c>
      <c r="AW127" s="503">
        <v>0.19</v>
      </c>
      <c r="AX127" s="472"/>
      <c r="AY127" s="472"/>
      <c r="AZ127" s="472"/>
      <c r="BA127" s="472"/>
      <c r="BB127" s="472"/>
      <c r="BC127" s="472"/>
      <c r="BD127" s="472"/>
      <c r="BE127" s="472"/>
      <c r="BF127" s="472"/>
      <c r="BG127" s="472"/>
    </row>
    <row r="128" spans="48:59" x14ac:dyDescent="0.35">
      <c r="AV128" s="503">
        <v>11.6028</v>
      </c>
      <c r="AW128" s="503">
        <v>0.18</v>
      </c>
      <c r="AX128" s="472"/>
      <c r="AY128" s="472"/>
      <c r="AZ128" s="472"/>
      <c r="BA128" s="472"/>
      <c r="BB128" s="472"/>
      <c r="BC128" s="472"/>
      <c r="BD128" s="472"/>
      <c r="BE128" s="472"/>
      <c r="BF128" s="472"/>
      <c r="BG128" s="472"/>
    </row>
    <row r="129" spans="48:59" x14ac:dyDescent="0.35">
      <c r="AV129" s="503">
        <v>12.3576</v>
      </c>
      <c r="AW129" s="503">
        <v>0.17</v>
      </c>
      <c r="AX129" s="472"/>
      <c r="AY129" s="472"/>
      <c r="AZ129" s="472"/>
      <c r="BA129" s="472"/>
      <c r="BB129" s="472"/>
      <c r="BC129" s="472"/>
      <c r="BD129" s="472"/>
      <c r="BE129" s="472"/>
      <c r="BF129" s="472"/>
      <c r="BG129" s="472"/>
    </row>
    <row r="130" spans="48:59" x14ac:dyDescent="0.35">
      <c r="AV130" s="503">
        <v>13.2064</v>
      </c>
      <c r="AW130" s="503">
        <v>0.16</v>
      </c>
      <c r="AX130" s="472"/>
      <c r="AY130" s="472"/>
      <c r="AZ130" s="472"/>
      <c r="BA130" s="472"/>
      <c r="BB130" s="472"/>
      <c r="BC130" s="472"/>
      <c r="BD130" s="472"/>
      <c r="BE130" s="472"/>
      <c r="BF130" s="472"/>
      <c r="BG130" s="472"/>
    </row>
    <row r="131" spans="48:59" x14ac:dyDescent="0.35">
      <c r="AV131" s="503">
        <v>14.168100000000001</v>
      </c>
      <c r="AW131" s="503">
        <v>0.15</v>
      </c>
      <c r="AX131" s="472"/>
      <c r="AY131" s="472"/>
      <c r="AZ131" s="472"/>
      <c r="BA131" s="472"/>
      <c r="BB131" s="472"/>
      <c r="BC131" s="472"/>
      <c r="BD131" s="472"/>
      <c r="BE131" s="472"/>
      <c r="BF131" s="472"/>
      <c r="BG131" s="472"/>
    </row>
    <row r="132" spans="48:59" x14ac:dyDescent="0.35">
      <c r="AV132" s="503">
        <v>15.2668</v>
      </c>
      <c r="AW132" s="503">
        <v>0.14000000000000001</v>
      </c>
      <c r="AX132" s="472"/>
      <c r="AY132" s="472"/>
      <c r="AZ132" s="472"/>
      <c r="BA132" s="472"/>
      <c r="BB132" s="472"/>
      <c r="BC132" s="472"/>
      <c r="BD132" s="472"/>
      <c r="BE132" s="472"/>
      <c r="BF132" s="472"/>
      <c r="BG132" s="472"/>
    </row>
    <row r="133" spans="48:59" x14ac:dyDescent="0.35">
      <c r="AV133" s="503">
        <v>16.534199999999998</v>
      </c>
      <c r="AW133" s="503">
        <v>0.13</v>
      </c>
      <c r="AX133" s="472"/>
      <c r="AY133" s="472"/>
      <c r="AZ133" s="472"/>
      <c r="BA133" s="472"/>
      <c r="BB133" s="472"/>
      <c r="BC133" s="472"/>
      <c r="BD133" s="472"/>
      <c r="BE133" s="472"/>
      <c r="BF133" s="472"/>
      <c r="BG133" s="472"/>
    </row>
    <row r="134" spans="48:59" x14ac:dyDescent="0.35">
      <c r="AV134" s="503">
        <v>18.0124</v>
      </c>
      <c r="AW134" s="503">
        <v>0.12</v>
      </c>
      <c r="AX134" s="472"/>
      <c r="AY134" s="472"/>
      <c r="AZ134" s="472"/>
      <c r="BA134" s="472"/>
      <c r="BB134" s="472"/>
      <c r="BC134" s="472"/>
      <c r="BD134" s="472"/>
      <c r="BE134" s="472"/>
      <c r="BF134" s="472"/>
      <c r="BG134" s="472"/>
    </row>
    <row r="135" spans="48:59" x14ac:dyDescent="0.35">
      <c r="AV135" s="503">
        <v>19.758900000000001</v>
      </c>
      <c r="AW135" s="503">
        <v>0.11</v>
      </c>
      <c r="AX135" s="472"/>
      <c r="AY135" s="472"/>
      <c r="AZ135" s="472"/>
      <c r="BA135" s="472"/>
      <c r="BB135" s="472"/>
      <c r="BC135" s="472"/>
      <c r="BD135" s="472"/>
      <c r="BE135" s="472"/>
      <c r="BF135" s="472"/>
      <c r="BG135" s="472"/>
    </row>
    <row r="136" spans="48:59" x14ac:dyDescent="0.35">
      <c r="AV136" s="503">
        <v>21.854299999999999</v>
      </c>
      <c r="AW136" s="503">
        <v>0.1</v>
      </c>
      <c r="AX136" s="472"/>
      <c r="AY136" s="472"/>
      <c r="AZ136" s="472"/>
      <c r="BA136" s="472"/>
      <c r="BB136" s="472"/>
      <c r="BC136" s="472"/>
      <c r="BD136" s="472"/>
      <c r="BE136" s="472"/>
      <c r="BF136" s="472"/>
      <c r="BG136" s="472"/>
    </row>
    <row r="137" spans="48:59" x14ac:dyDescent="0.35">
      <c r="AV137" s="503">
        <v>24.414899999999999</v>
      </c>
      <c r="AW137" s="503">
        <v>0.09</v>
      </c>
      <c r="AX137" s="472"/>
      <c r="AY137" s="472"/>
      <c r="AZ137" s="472"/>
      <c r="BA137" s="472"/>
      <c r="BB137" s="472"/>
      <c r="BC137" s="472"/>
      <c r="BD137" s="472"/>
      <c r="BE137" s="472"/>
      <c r="BF137" s="472"/>
      <c r="BG137" s="472"/>
    </row>
    <row r="138" spans="48:59" x14ac:dyDescent="0.35">
      <c r="AV138" s="503">
        <v>27.614999999999998</v>
      </c>
      <c r="AW138" s="503">
        <v>0.08</v>
      </c>
      <c r="AX138" s="472"/>
      <c r="AY138" s="472"/>
      <c r="AZ138" s="472"/>
      <c r="BA138" s="472"/>
      <c r="BB138" s="472"/>
      <c r="BC138" s="472"/>
      <c r="BD138" s="472"/>
      <c r="BE138" s="472"/>
      <c r="BF138" s="472"/>
      <c r="BG138" s="472"/>
    </row>
    <row r="139" spans="48:59" x14ac:dyDescent="0.35">
      <c r="AV139" s="503">
        <v>31.728899999999999</v>
      </c>
      <c r="AW139" s="503">
        <v>7.0000000000000007E-2</v>
      </c>
      <c r="AX139" s="472"/>
      <c r="AY139" s="472"/>
      <c r="AZ139" s="472"/>
      <c r="BA139" s="472"/>
      <c r="BB139" s="472"/>
      <c r="BC139" s="472"/>
      <c r="BD139" s="472"/>
      <c r="BE139" s="472"/>
      <c r="BF139" s="472"/>
      <c r="BG139" s="472"/>
    </row>
    <row r="140" spans="48:59" x14ac:dyDescent="0.35">
      <c r="AV140" s="503">
        <v>37.213299999999997</v>
      </c>
      <c r="AW140" s="503">
        <v>0.06</v>
      </c>
      <c r="AX140" s="472"/>
      <c r="AY140" s="472"/>
      <c r="AZ140" s="472"/>
      <c r="BA140" s="472"/>
      <c r="BB140" s="472"/>
      <c r="BC140" s="472"/>
      <c r="BD140" s="472"/>
      <c r="BE140" s="472"/>
      <c r="BF140" s="472"/>
      <c r="BG140" s="472"/>
    </row>
    <row r="141" spans="48:59" x14ac:dyDescent="0.35">
      <c r="AV141" s="503">
        <v>44.890599999999999</v>
      </c>
      <c r="AW141" s="503">
        <v>0.05</v>
      </c>
      <c r="AX141" s="472"/>
      <c r="AY141" s="472"/>
      <c r="AZ141" s="472"/>
      <c r="BA141" s="472"/>
      <c r="BB141" s="472"/>
      <c r="BC141" s="472"/>
      <c r="BD141" s="472"/>
      <c r="BE141" s="472"/>
      <c r="BF141" s="472"/>
      <c r="BG141" s="472"/>
    </row>
    <row r="142" spans="48:59" x14ac:dyDescent="0.35">
      <c r="AV142" s="503">
        <v>56.405500000000004</v>
      </c>
      <c r="AW142" s="503">
        <v>0.04</v>
      </c>
      <c r="AX142" s="472"/>
      <c r="AY142" s="472"/>
      <c r="AZ142" s="472"/>
      <c r="BA142" s="472"/>
      <c r="BB142" s="472"/>
      <c r="BC142" s="472"/>
      <c r="BD142" s="472"/>
      <c r="BE142" s="472"/>
      <c r="BF142" s="472"/>
      <c r="BG142" s="472"/>
    </row>
    <row r="143" spans="48:59" x14ac:dyDescent="0.35">
      <c r="AV143" s="503">
        <v>75.595699999999994</v>
      </c>
      <c r="AW143" s="503">
        <v>0.03</v>
      </c>
      <c r="AX143" s="472"/>
      <c r="AY143" s="472"/>
      <c r="AZ143" s="472"/>
      <c r="BA143" s="472"/>
      <c r="BB143" s="472"/>
      <c r="BC143" s="472"/>
      <c r="BD143" s="472"/>
      <c r="BE143" s="472"/>
      <c r="BF143" s="472"/>
      <c r="BG143" s="472"/>
    </row>
    <row r="144" spans="48:59" x14ac:dyDescent="0.35">
      <c r="AV144" s="503">
        <v>113.97410000000001</v>
      </c>
      <c r="AW144" s="503">
        <v>0.02</v>
      </c>
      <c r="AX144" s="472"/>
      <c r="AY144" s="472"/>
      <c r="AZ144" s="472"/>
      <c r="BA144" s="472"/>
      <c r="BB144" s="472"/>
      <c r="BC144" s="472"/>
      <c r="BD144" s="472"/>
      <c r="BE144" s="472"/>
      <c r="BF144" s="472"/>
      <c r="BG144" s="472"/>
    </row>
    <row r="145" spans="48:59" x14ac:dyDescent="0.35">
      <c r="AV145" s="503">
        <v>229.1053</v>
      </c>
      <c r="AW145" s="503">
        <v>0.01</v>
      </c>
      <c r="AX145" s="472"/>
      <c r="AY145" s="472"/>
      <c r="AZ145" s="472"/>
      <c r="BA145" s="472"/>
      <c r="BB145" s="472"/>
      <c r="BC145" s="472"/>
      <c r="BD145" s="472"/>
      <c r="BE145" s="472"/>
      <c r="BF145" s="472"/>
      <c r="BG145" s="472"/>
    </row>
    <row r="146" spans="48:59" x14ac:dyDescent="0.35">
      <c r="AV146" s="472"/>
      <c r="AW146" s="472"/>
      <c r="AX146" s="472"/>
      <c r="AY146" s="472"/>
      <c r="AZ146" s="472"/>
      <c r="BA146" s="472"/>
      <c r="BB146" s="472"/>
      <c r="BC146" s="472"/>
      <c r="BD146" s="472"/>
      <c r="BE146" s="472"/>
      <c r="BF146" s="472"/>
      <c r="BG146" s="472"/>
    </row>
    <row r="147" spans="48:59" x14ac:dyDescent="0.35">
      <c r="AV147" s="472" t="s">
        <v>1167</v>
      </c>
      <c r="AW147" s="472"/>
      <c r="AX147" s="472"/>
      <c r="AY147" s="472"/>
      <c r="AZ147" s="472"/>
      <c r="BA147" s="472"/>
      <c r="BB147" s="472"/>
      <c r="BC147" s="472"/>
      <c r="BD147" s="472"/>
      <c r="BE147" s="472"/>
      <c r="BF147" s="472"/>
      <c r="BG147" s="472"/>
    </row>
    <row r="148" spans="48:59" x14ac:dyDescent="0.35">
      <c r="AV148" s="472"/>
      <c r="AW148" s="472"/>
      <c r="AX148" s="472"/>
      <c r="AY148" s="472"/>
      <c r="AZ148" s="472"/>
      <c r="BA148" s="472"/>
      <c r="BB148" s="472"/>
      <c r="BC148" s="472"/>
      <c r="BD148" s="472"/>
      <c r="BE148" s="472"/>
      <c r="BF148" s="472"/>
      <c r="BG148" s="472"/>
    </row>
    <row r="149" spans="48:59" x14ac:dyDescent="0.35">
      <c r="AV149" s="472"/>
      <c r="AW149" s="472"/>
      <c r="AX149" s="472"/>
      <c r="AY149" s="472"/>
      <c r="AZ149" s="472"/>
      <c r="BA149" s="472"/>
      <c r="BB149" s="472"/>
      <c r="BC149" s="472"/>
      <c r="BD149" s="472"/>
      <c r="BE149" s="472"/>
      <c r="BF149" s="472"/>
      <c r="BG149" s="472"/>
    </row>
    <row r="150" spans="48:59" x14ac:dyDescent="0.35">
      <c r="AV150" s="472"/>
      <c r="AW150" s="472"/>
      <c r="AX150" s="473"/>
      <c r="AY150" s="474"/>
      <c r="AZ150" s="475"/>
      <c r="BA150" s="475" t="s">
        <v>1147</v>
      </c>
      <c r="BB150" s="474"/>
      <c r="BC150" s="474"/>
      <c r="BD150" s="474"/>
      <c r="BE150" s="476"/>
      <c r="BF150" s="472"/>
      <c r="BG150" s="472"/>
    </row>
    <row r="151" spans="48:59" x14ac:dyDescent="0.35">
      <c r="AV151" s="472"/>
      <c r="AW151" s="477"/>
      <c r="AX151" s="478">
        <v>0.5</v>
      </c>
      <c r="AY151" s="478">
        <v>0.75</v>
      </c>
      <c r="AZ151" s="478">
        <v>0.9</v>
      </c>
      <c r="BA151" s="478">
        <v>0.95</v>
      </c>
      <c r="BB151" s="479">
        <v>0.97499999999999998</v>
      </c>
      <c r="BC151" s="478">
        <v>0.99</v>
      </c>
      <c r="BD151" s="479">
        <v>0.995</v>
      </c>
      <c r="BE151" s="479">
        <v>0.999</v>
      </c>
      <c r="BF151" s="472"/>
      <c r="BG151" s="472"/>
    </row>
    <row r="152" spans="48:59" x14ac:dyDescent="0.35">
      <c r="AV152" s="480"/>
      <c r="AW152" s="481">
        <v>0.3</v>
      </c>
      <c r="AX152" s="482">
        <v>40</v>
      </c>
      <c r="AY152" s="482">
        <v>40</v>
      </c>
      <c r="AZ152" s="482">
        <v>40</v>
      </c>
      <c r="BA152" s="482">
        <v>40</v>
      </c>
      <c r="BB152" s="482">
        <v>40</v>
      </c>
      <c r="BC152" s="482">
        <v>40</v>
      </c>
      <c r="BD152" s="482">
        <v>40</v>
      </c>
      <c r="BE152" s="482">
        <v>40</v>
      </c>
      <c r="BF152" s="472"/>
      <c r="BG152" s="472"/>
    </row>
    <row r="153" spans="48:59" x14ac:dyDescent="0.35">
      <c r="AV153" s="483"/>
      <c r="AW153" s="481">
        <v>0.25</v>
      </c>
      <c r="AX153" s="482">
        <v>40</v>
      </c>
      <c r="AY153" s="482">
        <v>40</v>
      </c>
      <c r="AZ153" s="482">
        <v>40</v>
      </c>
      <c r="BA153" s="482">
        <v>40</v>
      </c>
      <c r="BB153" s="482">
        <v>40</v>
      </c>
      <c r="BC153" s="482">
        <v>40</v>
      </c>
      <c r="BD153" s="482">
        <v>40</v>
      </c>
      <c r="BE153" s="482">
        <v>40</v>
      </c>
      <c r="BF153" s="472"/>
      <c r="BG153" s="472"/>
    </row>
    <row r="154" spans="48:59" x14ac:dyDescent="0.35">
      <c r="AV154" s="483"/>
      <c r="AW154" s="481">
        <v>0.2</v>
      </c>
      <c r="AX154" s="482">
        <v>40</v>
      </c>
      <c r="AY154" s="482">
        <v>40</v>
      </c>
      <c r="AZ154" s="482">
        <v>40</v>
      </c>
      <c r="BA154" s="482">
        <v>40</v>
      </c>
      <c r="BB154" s="482">
        <v>40</v>
      </c>
      <c r="BC154" s="482">
        <v>40</v>
      </c>
      <c r="BD154" s="482">
        <v>40</v>
      </c>
      <c r="BE154" s="482">
        <v>40</v>
      </c>
      <c r="BF154" s="472"/>
      <c r="BG154" s="472"/>
    </row>
    <row r="155" spans="48:59" x14ac:dyDescent="0.35">
      <c r="AV155" s="484" t="s">
        <v>1148</v>
      </c>
      <c r="AW155" s="481">
        <v>0.15</v>
      </c>
      <c r="AX155" s="482">
        <v>40</v>
      </c>
      <c r="AY155" s="482">
        <v>40</v>
      </c>
      <c r="AZ155" s="482">
        <v>40</v>
      </c>
      <c r="BA155" s="482">
        <v>40</v>
      </c>
      <c r="BB155" s="482">
        <v>40</v>
      </c>
      <c r="BC155" s="482">
        <v>40</v>
      </c>
      <c r="BD155" s="482">
        <v>40</v>
      </c>
      <c r="BE155" s="482">
        <v>80</v>
      </c>
      <c r="BF155" s="472"/>
      <c r="BG155" s="472"/>
    </row>
    <row r="156" spans="48:59" x14ac:dyDescent="0.35">
      <c r="AV156" s="484" t="s">
        <v>1149</v>
      </c>
      <c r="AW156" s="481">
        <v>0.1</v>
      </c>
      <c r="AX156" s="482">
        <v>40</v>
      </c>
      <c r="AY156" s="482">
        <v>40</v>
      </c>
      <c r="AZ156" s="482">
        <v>40</v>
      </c>
      <c r="BA156" s="482">
        <v>40</v>
      </c>
      <c r="BB156" s="482">
        <v>40</v>
      </c>
      <c r="BC156" s="482">
        <v>80</v>
      </c>
      <c r="BD156" s="482">
        <v>80</v>
      </c>
      <c r="BE156" s="482">
        <v>80</v>
      </c>
      <c r="BF156" s="472"/>
      <c r="BG156" s="472"/>
    </row>
    <row r="157" spans="48:59" x14ac:dyDescent="0.35">
      <c r="AV157" s="484" t="s">
        <v>1150</v>
      </c>
      <c r="AW157" s="481">
        <v>0.05</v>
      </c>
      <c r="AX157" s="482">
        <v>40</v>
      </c>
      <c r="AY157" s="482">
        <v>40</v>
      </c>
      <c r="AZ157" s="482">
        <v>80</v>
      </c>
      <c r="BA157" s="482">
        <v>80</v>
      </c>
      <c r="BB157" s="482">
        <v>80</v>
      </c>
      <c r="BC157" s="482">
        <v>120</v>
      </c>
      <c r="BD157" s="482">
        <v>120</v>
      </c>
      <c r="BE157" s="482">
        <v>160</v>
      </c>
      <c r="BF157" s="472"/>
      <c r="BG157" s="472"/>
    </row>
    <row r="158" spans="48:59" x14ac:dyDescent="0.35">
      <c r="AV158" s="483"/>
      <c r="AW158" s="481">
        <v>0.02</v>
      </c>
      <c r="AX158" s="482">
        <v>40</v>
      </c>
      <c r="AY158" s="482">
        <v>80</v>
      </c>
      <c r="AZ158" s="482">
        <v>120</v>
      </c>
      <c r="BA158" s="482">
        <v>160</v>
      </c>
      <c r="BB158" s="482">
        <v>200</v>
      </c>
      <c r="BC158" s="482">
        <v>240</v>
      </c>
      <c r="BD158" s="482">
        <v>280</v>
      </c>
      <c r="BE158" s="482">
        <v>360</v>
      </c>
      <c r="BF158" s="472"/>
      <c r="BG158" s="472"/>
    </row>
    <row r="159" spans="48:59" x14ac:dyDescent="0.35">
      <c r="AV159" s="483"/>
      <c r="AW159" s="481">
        <v>0.01</v>
      </c>
      <c r="AX159" s="482">
        <v>80</v>
      </c>
      <c r="AY159" s="482">
        <v>160</v>
      </c>
      <c r="AZ159" s="482">
        <v>240</v>
      </c>
      <c r="BA159" s="482">
        <v>320</v>
      </c>
      <c r="BB159" s="482">
        <v>360</v>
      </c>
      <c r="BC159" s="482">
        <v>440</v>
      </c>
      <c r="BD159" s="482">
        <v>520</v>
      </c>
      <c r="BE159" s="482">
        <v>640</v>
      </c>
      <c r="BF159" s="472"/>
      <c r="BG159" s="472"/>
    </row>
    <row r="160" spans="48:59" x14ac:dyDescent="0.35">
      <c r="AV160" s="483"/>
      <c r="AW160" s="485">
        <v>5.0000000000000001E-3</v>
      </c>
      <c r="AX160" s="482">
        <v>160</v>
      </c>
      <c r="AY160" s="482">
        <v>280</v>
      </c>
      <c r="AZ160" s="482">
        <v>440</v>
      </c>
      <c r="BA160" s="482">
        <v>560</v>
      </c>
      <c r="BB160" s="482">
        <v>680</v>
      </c>
      <c r="BC160" s="482">
        <v>840</v>
      </c>
      <c r="BD160" s="482">
        <v>960</v>
      </c>
      <c r="BE160" s="482">
        <v>1200</v>
      </c>
      <c r="BF160" s="472"/>
      <c r="BG160" s="472"/>
    </row>
    <row r="161" spans="48:59" x14ac:dyDescent="0.35">
      <c r="AV161" s="486"/>
      <c r="AW161" s="485">
        <v>1E-3</v>
      </c>
      <c r="AX161" s="482">
        <v>640</v>
      </c>
      <c r="AY161" s="482">
        <v>1200</v>
      </c>
      <c r="AZ161" s="482">
        <v>1760</v>
      </c>
      <c r="BA161" s="482">
        <v>2120</v>
      </c>
      <c r="BB161" s="482">
        <v>2440</v>
      </c>
      <c r="BC161" s="482">
        <v>2760</v>
      </c>
      <c r="BD161" s="482">
        <v>2960</v>
      </c>
      <c r="BE161" s="482">
        <v>3320</v>
      </c>
      <c r="BF161" s="472"/>
      <c r="BG161" s="472"/>
    </row>
    <row r="162" spans="48:59" x14ac:dyDescent="0.35">
      <c r="AV162" s="472"/>
      <c r="AW162" s="472"/>
      <c r="AX162" s="472"/>
      <c r="AY162" s="472"/>
      <c r="AZ162" s="472"/>
      <c r="BA162" s="472"/>
      <c r="BB162" s="472"/>
      <c r="BC162" s="472"/>
      <c r="BD162" s="472"/>
      <c r="BE162" s="472"/>
      <c r="BF162" s="472"/>
      <c r="BG162" s="472"/>
    </row>
    <row r="163" spans="48:59" x14ac:dyDescent="0.35">
      <c r="AV163" s="472" t="s">
        <v>1151</v>
      </c>
      <c r="AW163" s="472"/>
      <c r="AX163" s="472"/>
      <c r="AY163" s="472"/>
      <c r="AZ163" s="472"/>
      <c r="BA163" s="472"/>
      <c r="BB163" s="472"/>
      <c r="BC163" s="472"/>
      <c r="BD163" s="472"/>
      <c r="BE163" s="472"/>
      <c r="BF163" s="472"/>
      <c r="BG163" s="472"/>
    </row>
    <row r="164" spans="48:59" x14ac:dyDescent="0.35">
      <c r="AV164" s="472"/>
      <c r="AW164" s="472"/>
      <c r="AX164" s="472"/>
      <c r="AY164" s="472"/>
      <c r="AZ164" s="472"/>
      <c r="BA164" s="472"/>
      <c r="BB164" s="472"/>
      <c r="BC164" s="472"/>
      <c r="BD164" s="472"/>
      <c r="BE164" s="472"/>
      <c r="BF164" s="472"/>
      <c r="BG164" s="472"/>
    </row>
    <row r="165" spans="48:59" x14ac:dyDescent="0.35">
      <c r="AV165" s="472" t="s">
        <v>1152</v>
      </c>
      <c r="AW165" s="472"/>
      <c r="AX165" s="472"/>
      <c r="AY165" s="472"/>
      <c r="AZ165" s="472"/>
      <c r="BA165" s="472"/>
      <c r="BB165" s="472"/>
      <c r="BC165" s="472"/>
      <c r="BD165" s="472"/>
      <c r="BE165" s="472"/>
      <c r="BF165" s="472"/>
      <c r="BG165" s="472"/>
    </row>
    <row r="166" spans="48:59" x14ac:dyDescent="0.35">
      <c r="AV166" s="472"/>
      <c r="AW166" s="472"/>
      <c r="AX166" s="472"/>
      <c r="AY166" s="472"/>
      <c r="AZ166" s="472"/>
      <c r="BA166" s="472"/>
      <c r="BB166" s="472"/>
      <c r="BC166" s="472"/>
      <c r="BD166" s="472"/>
      <c r="BE166" s="472"/>
      <c r="BF166" s="472"/>
      <c r="BG166" s="472"/>
    </row>
    <row r="167" spans="48:59" x14ac:dyDescent="0.35">
      <c r="AV167" s="472" t="s">
        <v>1153</v>
      </c>
      <c r="AW167" s="472"/>
      <c r="AX167" s="472"/>
      <c r="AY167" s="472"/>
      <c r="AZ167" s="472"/>
      <c r="BA167" s="472"/>
      <c r="BB167" s="472"/>
      <c r="BC167" s="472"/>
      <c r="BD167" s="472"/>
      <c r="BE167" s="472"/>
      <c r="BF167" s="472"/>
      <c r="BG167" s="472"/>
    </row>
    <row r="168" spans="48:59" x14ac:dyDescent="0.35">
      <c r="AV168" s="472" t="s">
        <v>1154</v>
      </c>
      <c r="AW168" s="472"/>
      <c r="AX168" s="472"/>
      <c r="AY168" s="472"/>
      <c r="AZ168" s="472"/>
      <c r="BA168" s="472"/>
      <c r="BB168" s="472"/>
      <c r="BC168" s="472"/>
      <c r="BD168" s="472"/>
      <c r="BE168" s="472"/>
      <c r="BF168" s="472"/>
      <c r="BG168" s="472"/>
    </row>
    <row r="169" spans="48:59" x14ac:dyDescent="0.35">
      <c r="AV169" s="472"/>
      <c r="AW169" s="472"/>
      <c r="AX169" s="472"/>
      <c r="AY169" s="472"/>
      <c r="AZ169" s="472"/>
      <c r="BA169" s="472"/>
      <c r="BB169" s="472"/>
      <c r="BC169" s="472"/>
      <c r="BD169" s="472"/>
      <c r="BE169" s="472"/>
      <c r="BF169" s="472"/>
      <c r="BG169" s="472"/>
    </row>
    <row r="170" spans="48:59" x14ac:dyDescent="0.35">
      <c r="AV170" s="472"/>
      <c r="AW170" s="472"/>
      <c r="AX170" s="472"/>
      <c r="AY170" s="472"/>
      <c r="AZ170" s="472"/>
      <c r="BA170" s="472"/>
      <c r="BB170" s="472"/>
      <c r="BC170" s="472"/>
      <c r="BD170" s="472"/>
      <c r="BE170" s="472"/>
      <c r="BF170" s="472"/>
      <c r="BG170" s="472"/>
    </row>
    <row r="171" spans="48:59" x14ac:dyDescent="0.35">
      <c r="AV171" s="472" t="s">
        <v>1155</v>
      </c>
      <c r="AW171" s="472"/>
      <c r="AX171" s="472"/>
      <c r="AY171" s="472"/>
      <c r="AZ171" s="472"/>
      <c r="BA171" s="472"/>
      <c r="BB171" s="472"/>
      <c r="BC171" s="472"/>
      <c r="BD171" s="472"/>
      <c r="BE171" s="472"/>
      <c r="BF171" s="472"/>
      <c r="BG171" s="472"/>
    </row>
    <row r="172" spans="48:59" x14ac:dyDescent="0.35">
      <c r="AV172" s="472"/>
      <c r="AW172" s="472"/>
      <c r="AX172" s="472"/>
      <c r="AY172" s="472"/>
      <c r="AZ172" s="472"/>
      <c r="BA172" s="472"/>
      <c r="BB172" s="472"/>
      <c r="BC172" s="472"/>
      <c r="BD172" s="472"/>
      <c r="BE172" s="472"/>
      <c r="BF172" s="472"/>
      <c r="BG172" s="472"/>
    </row>
    <row r="173" spans="48:59" x14ac:dyDescent="0.35">
      <c r="AV173" s="487"/>
      <c r="AW173" s="488"/>
      <c r="AX173" s="488"/>
      <c r="AY173" s="488"/>
      <c r="AZ173" s="488"/>
      <c r="BA173" s="488"/>
      <c r="BB173" s="488"/>
      <c r="BC173" s="488"/>
      <c r="BD173" s="488"/>
      <c r="BE173" s="489"/>
      <c r="BF173" s="472"/>
      <c r="BG173" s="472"/>
    </row>
    <row r="174" spans="48:59" ht="18" x14ac:dyDescent="0.4">
      <c r="AV174" s="490" t="s">
        <v>1156</v>
      </c>
      <c r="AW174" s="491"/>
      <c r="AX174" s="491"/>
      <c r="AY174" s="491"/>
      <c r="AZ174" s="491"/>
      <c r="BA174" s="491"/>
      <c r="BB174" s="491"/>
      <c r="BC174" s="491"/>
      <c r="BD174" s="491"/>
      <c r="BE174" s="492"/>
      <c r="BF174" s="472"/>
      <c r="BG174" s="472"/>
    </row>
    <row r="175" spans="48:59" x14ac:dyDescent="0.35">
      <c r="AV175" s="493"/>
      <c r="AW175" s="491"/>
      <c r="AX175" s="491"/>
      <c r="AY175" s="491"/>
      <c r="AZ175" s="491"/>
      <c r="BA175" s="491"/>
      <c r="BB175" s="491"/>
      <c r="BC175" s="491"/>
      <c r="BD175" s="491"/>
      <c r="BE175" s="492"/>
      <c r="BF175" s="472"/>
      <c r="BG175" s="472"/>
    </row>
    <row r="176" spans="48:59" x14ac:dyDescent="0.35">
      <c r="AV176" s="494" t="s">
        <v>1157</v>
      </c>
      <c r="AW176" s="491"/>
      <c r="AX176" s="491"/>
      <c r="AY176" s="491"/>
      <c r="AZ176" s="491"/>
      <c r="BA176" s="491"/>
      <c r="BB176" s="491"/>
      <c r="BC176" s="491"/>
      <c r="BD176" s="491"/>
      <c r="BE176" s="492"/>
      <c r="BF176" s="472"/>
      <c r="BG176" s="472"/>
    </row>
    <row r="177" spans="48:59" ht="15" thickBot="1" x14ac:dyDescent="0.4">
      <c r="AV177" s="493"/>
      <c r="AW177" s="491"/>
      <c r="AX177" s="491"/>
      <c r="AY177" s="491"/>
      <c r="AZ177" s="491"/>
      <c r="BA177" s="491"/>
      <c r="BB177" s="491"/>
      <c r="BC177" s="491"/>
      <c r="BD177" s="491"/>
      <c r="BE177" s="492"/>
      <c r="BF177" s="472"/>
      <c r="BG177" s="472"/>
    </row>
    <row r="178" spans="48:59" ht="15" thickBot="1" x14ac:dyDescent="0.4">
      <c r="AV178" s="495">
        <f>I20</f>
        <v>0.95</v>
      </c>
      <c r="AW178" s="491"/>
      <c r="AX178" s="491"/>
      <c r="AY178" s="491"/>
      <c r="AZ178" s="491"/>
      <c r="BA178" s="491"/>
      <c r="BB178" s="491"/>
      <c r="BC178" s="491"/>
      <c r="BD178" s="491"/>
      <c r="BE178" s="492"/>
      <c r="BF178" s="472"/>
      <c r="BG178" s="472"/>
    </row>
    <row r="179" spans="48:59" x14ac:dyDescent="0.35">
      <c r="AV179" s="493"/>
      <c r="AW179" s="491"/>
      <c r="AX179" s="491"/>
      <c r="AY179" s="491"/>
      <c r="AZ179" s="491"/>
      <c r="BA179" s="491"/>
      <c r="BB179" s="491"/>
      <c r="BC179" s="491"/>
      <c r="BD179" s="491"/>
      <c r="BE179" s="492"/>
      <c r="BF179" s="472"/>
      <c r="BG179" s="472"/>
    </row>
    <row r="180" spans="48:59" x14ac:dyDescent="0.35">
      <c r="AV180" s="494" t="s">
        <v>1158</v>
      </c>
      <c r="AW180" s="491"/>
      <c r="AX180" s="491"/>
      <c r="AY180" s="491"/>
      <c r="AZ180" s="491"/>
      <c r="BA180" s="491"/>
      <c r="BB180" s="491"/>
      <c r="BC180" s="491"/>
      <c r="BD180" s="491"/>
      <c r="BE180" s="492"/>
      <c r="BF180" s="472"/>
      <c r="BG180" s="472"/>
    </row>
    <row r="181" spans="48:59" ht="15" thickBot="1" x14ac:dyDescent="0.4">
      <c r="AV181" s="493"/>
      <c r="AW181" s="491"/>
      <c r="AX181" s="491"/>
      <c r="AY181" s="491"/>
      <c r="AZ181" s="491"/>
      <c r="BA181" s="491"/>
      <c r="BB181" s="491"/>
      <c r="BC181" s="491"/>
      <c r="BD181" s="491"/>
      <c r="BE181" s="492"/>
      <c r="BF181" s="472"/>
      <c r="BG181" s="472"/>
    </row>
    <row r="182" spans="48:59" ht="15" thickBot="1" x14ac:dyDescent="0.4">
      <c r="AV182" s="495">
        <f>100%-I21</f>
        <v>5.0000000000000044E-2</v>
      </c>
      <c r="AW182" s="491"/>
      <c r="AX182" s="491"/>
      <c r="AY182" s="491"/>
      <c r="AZ182" s="491"/>
      <c r="BA182" s="491"/>
      <c r="BB182" s="491"/>
      <c r="BC182" s="491"/>
      <c r="BD182" s="491"/>
      <c r="BE182" s="492"/>
      <c r="BF182" s="472"/>
      <c r="BG182" s="472"/>
    </row>
    <row r="183" spans="48:59" x14ac:dyDescent="0.35">
      <c r="AV183" s="493"/>
      <c r="AW183" s="491"/>
      <c r="AX183" s="491"/>
      <c r="AY183" s="491"/>
      <c r="AZ183" s="491"/>
      <c r="BA183" s="491"/>
      <c r="BB183" s="491"/>
      <c r="BC183" s="491"/>
      <c r="BD183" s="491"/>
      <c r="BE183" s="492"/>
      <c r="BF183" s="472"/>
      <c r="BG183" s="472"/>
    </row>
    <row r="184" spans="48:59" x14ac:dyDescent="0.35">
      <c r="AV184" s="494" t="s">
        <v>1159</v>
      </c>
      <c r="AW184" s="491"/>
      <c r="AX184" s="491"/>
      <c r="AY184" s="491"/>
      <c r="AZ184" s="491"/>
      <c r="BA184" s="491"/>
      <c r="BB184" s="491"/>
      <c r="BC184" s="491"/>
      <c r="BD184" s="491"/>
      <c r="BE184" s="492"/>
      <c r="BF184" s="472"/>
      <c r="BG184" s="472"/>
    </row>
    <row r="185" spans="48:59" ht="15" thickBot="1" x14ac:dyDescent="0.4">
      <c r="AV185" s="493"/>
      <c r="AW185" s="491"/>
      <c r="AX185" s="491"/>
      <c r="AY185" s="491"/>
      <c r="AZ185" s="491"/>
      <c r="BA185" s="491"/>
      <c r="BB185" s="491"/>
      <c r="BC185" s="491"/>
      <c r="BD185" s="491"/>
      <c r="BE185" s="492"/>
      <c r="BF185" s="472"/>
      <c r="BG185" s="472"/>
    </row>
    <row r="186" spans="48:59" ht="15" thickBot="1" x14ac:dyDescent="0.4">
      <c r="AV186" s="496">
        <v>4000</v>
      </c>
      <c r="AW186" s="491"/>
      <c r="AX186" s="491"/>
      <c r="AY186" s="491"/>
      <c r="AZ186" s="491"/>
      <c r="BA186" s="491"/>
      <c r="BB186" s="491"/>
      <c r="BC186" s="491"/>
      <c r="BD186" s="491"/>
      <c r="BE186" s="492"/>
      <c r="BF186" s="472"/>
      <c r="BG186" s="472"/>
    </row>
    <row r="187" spans="48:59" x14ac:dyDescent="0.35">
      <c r="AV187" s="493"/>
      <c r="AW187" s="491"/>
      <c r="AX187" s="491"/>
      <c r="AY187" s="491"/>
      <c r="AZ187" s="491"/>
      <c r="BA187" s="491"/>
      <c r="BB187" s="491"/>
      <c r="BC187" s="491"/>
      <c r="BD187" s="491"/>
      <c r="BE187" s="492"/>
      <c r="BF187" s="472"/>
      <c r="BG187" s="472"/>
    </row>
    <row r="188" spans="48:59" x14ac:dyDescent="0.35">
      <c r="AV188" s="493" t="s">
        <v>1160</v>
      </c>
      <c r="AW188" s="491"/>
      <c r="AX188" s="491"/>
      <c r="AY188" s="491"/>
      <c r="AZ188" s="491"/>
      <c r="BA188" s="491"/>
      <c r="BB188" s="491"/>
      <c r="BC188" s="491"/>
      <c r="BD188" s="491"/>
      <c r="BE188" s="492"/>
      <c r="BF188" s="472"/>
      <c r="BG188" s="472"/>
    </row>
    <row r="189" spans="48:59" x14ac:dyDescent="0.35">
      <c r="AV189" s="493"/>
      <c r="AW189" s="491"/>
      <c r="AX189" s="491"/>
      <c r="AY189" s="491"/>
      <c r="AZ189" s="491"/>
      <c r="BA189" s="491"/>
      <c r="BB189" s="491"/>
      <c r="BC189" s="491"/>
      <c r="BD189" s="491"/>
      <c r="BE189" s="492"/>
      <c r="BF189" s="472"/>
      <c r="BG189" s="472"/>
    </row>
    <row r="190" spans="48:59" x14ac:dyDescent="0.35">
      <c r="AV190" s="500">
        <f>$AV$186*(LOOKUP(($AV$186*($AV$182/(LOOKUP($AV$178,$AV$34:$AV$41,$AW$34:$AW$41)))),$AV$47:$AV$145,$AW$47:$AW$145))</f>
        <v>80</v>
      </c>
      <c r="AW190" s="491"/>
      <c r="AX190" s="491"/>
      <c r="AY190" s="491"/>
      <c r="AZ190" s="491"/>
      <c r="BA190" s="491"/>
      <c r="BB190" s="491"/>
      <c r="BC190" s="491"/>
      <c r="BD190" s="491"/>
      <c r="BE190" s="492"/>
      <c r="BF190" s="472"/>
      <c r="BG190" s="472"/>
    </row>
    <row r="191" spans="48:59" x14ac:dyDescent="0.35">
      <c r="AV191" s="497"/>
      <c r="AW191" s="498"/>
      <c r="AX191" s="498"/>
      <c r="AY191" s="498"/>
      <c r="AZ191" s="498"/>
      <c r="BA191" s="498"/>
      <c r="BB191" s="498"/>
      <c r="BC191" s="498"/>
      <c r="BD191" s="498"/>
      <c r="BE191" s="499"/>
      <c r="BF191" s="472"/>
      <c r="BG191" s="472"/>
    </row>
    <row r="192" spans="48:59" x14ac:dyDescent="0.35">
      <c r="AV192" s="472"/>
      <c r="AW192" s="472"/>
      <c r="AX192" s="472"/>
      <c r="AY192" s="472"/>
      <c r="AZ192" s="472"/>
      <c r="BA192" s="472"/>
      <c r="BB192" s="472"/>
      <c r="BC192" s="472"/>
      <c r="BD192" s="472"/>
      <c r="BE192" s="472"/>
      <c r="BF192" s="472"/>
      <c r="BG192" s="472"/>
    </row>
  </sheetData>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9"/>
  <sheetViews>
    <sheetView workbookViewId="0">
      <selection activeCell="A2" sqref="A2"/>
    </sheetView>
  </sheetViews>
  <sheetFormatPr defaultRowHeight="14.5" x14ac:dyDescent="0.35"/>
  <cols>
    <col min="1" max="1" width="25.90625" customWidth="1"/>
    <col min="2" max="2" width="47.08984375" customWidth="1"/>
    <col min="3" max="3" width="15.08984375" customWidth="1"/>
  </cols>
  <sheetData>
    <row r="1" spans="1:5" ht="21.5" thickBot="1" x14ac:dyDescent="0.55000000000000004">
      <c r="A1" s="70" t="s">
        <v>1268</v>
      </c>
    </row>
    <row r="3" spans="1:5" x14ac:dyDescent="0.35">
      <c r="A3" t="s">
        <v>407</v>
      </c>
    </row>
    <row r="4" spans="1:5" x14ac:dyDescent="0.35">
      <c r="A4" t="s">
        <v>408</v>
      </c>
    </row>
    <row r="5" spans="1:5" ht="15" thickBot="1" x14ac:dyDescent="0.4"/>
    <row r="6" spans="1:5" x14ac:dyDescent="0.35">
      <c r="A6" s="130" t="s">
        <v>71</v>
      </c>
      <c r="B6" s="144"/>
      <c r="C6" s="144"/>
      <c r="D6" s="144"/>
      <c r="E6" s="145"/>
    </row>
    <row r="7" spans="1:5" ht="15" thickBot="1" x14ac:dyDescent="0.4">
      <c r="A7" s="124"/>
      <c r="B7" s="8"/>
      <c r="C7" s="121" t="s">
        <v>65</v>
      </c>
      <c r="D7" s="121" t="s">
        <v>150</v>
      </c>
      <c r="E7" s="146"/>
    </row>
    <row r="8" spans="1:5" x14ac:dyDescent="0.35">
      <c r="A8" s="136" t="s">
        <v>393</v>
      </c>
      <c r="B8" s="122" t="s">
        <v>395</v>
      </c>
      <c r="C8" s="244">
        <v>130000</v>
      </c>
      <c r="D8" s="123"/>
      <c r="E8" s="146"/>
    </row>
    <row r="9" spans="1:5" x14ac:dyDescent="0.35">
      <c r="A9" s="124"/>
      <c r="B9" s="2" t="s">
        <v>394</v>
      </c>
      <c r="C9" s="232">
        <v>0</v>
      </c>
      <c r="D9" s="125"/>
      <c r="E9" s="146"/>
    </row>
    <row r="10" spans="1:5" x14ac:dyDescent="0.35">
      <c r="A10" s="124"/>
      <c r="B10" s="2" t="s">
        <v>396</v>
      </c>
      <c r="C10" s="232">
        <v>0</v>
      </c>
      <c r="D10" s="125"/>
      <c r="E10" s="146"/>
    </row>
    <row r="11" spans="1:5" x14ac:dyDescent="0.35">
      <c r="A11" s="124"/>
      <c r="B11" s="2" t="s">
        <v>397</v>
      </c>
      <c r="C11" s="232">
        <v>0</v>
      </c>
      <c r="D11" s="125"/>
      <c r="E11" s="146"/>
    </row>
    <row r="12" spans="1:5" x14ac:dyDescent="0.35">
      <c r="A12" s="124"/>
      <c r="B12" s="2" t="s">
        <v>398</v>
      </c>
      <c r="C12" s="232">
        <f>SUM(C8:C11)</f>
        <v>130000</v>
      </c>
      <c r="D12" s="125"/>
      <c r="E12" s="146"/>
    </row>
    <row r="13" spans="1:5" x14ac:dyDescent="0.35">
      <c r="A13" s="124"/>
      <c r="B13" s="2" t="s">
        <v>399</v>
      </c>
      <c r="C13" s="232">
        <v>200</v>
      </c>
      <c r="D13" s="125" t="s">
        <v>401</v>
      </c>
      <c r="E13" s="146"/>
    </row>
    <row r="14" spans="1:5" x14ac:dyDescent="0.35">
      <c r="A14" s="124"/>
      <c r="B14" s="2" t="s">
        <v>400</v>
      </c>
      <c r="C14" s="232">
        <v>500</v>
      </c>
      <c r="D14" s="125" t="s">
        <v>401</v>
      </c>
      <c r="E14" s="146"/>
    </row>
    <row r="15" spans="1:5" x14ac:dyDescent="0.35">
      <c r="A15" s="124"/>
      <c r="B15" s="2" t="s">
        <v>885</v>
      </c>
      <c r="C15" s="232">
        <v>300</v>
      </c>
      <c r="D15" s="125" t="s">
        <v>401</v>
      </c>
      <c r="E15" s="146"/>
    </row>
    <row r="16" spans="1:5" x14ac:dyDescent="0.35">
      <c r="A16" s="124"/>
      <c r="B16" s="4" t="s">
        <v>402</v>
      </c>
      <c r="C16" s="232">
        <v>0</v>
      </c>
      <c r="D16" s="125" t="s">
        <v>404</v>
      </c>
      <c r="E16" s="146"/>
    </row>
    <row r="17" spans="1:5" x14ac:dyDescent="0.35">
      <c r="A17" s="124"/>
      <c r="B17" s="152" t="s">
        <v>403</v>
      </c>
      <c r="C17" s="243">
        <v>0</v>
      </c>
      <c r="D17" s="153" t="s">
        <v>404</v>
      </c>
      <c r="E17" s="146"/>
    </row>
    <row r="18" spans="1:5" x14ac:dyDescent="0.35">
      <c r="A18" s="124"/>
      <c r="B18" s="152" t="s">
        <v>1186</v>
      </c>
      <c r="C18" s="243">
        <v>50</v>
      </c>
      <c r="D18" s="153" t="s">
        <v>404</v>
      </c>
      <c r="E18" s="146"/>
    </row>
    <row r="19" spans="1:5" x14ac:dyDescent="0.35">
      <c r="A19" s="124"/>
      <c r="B19" s="152" t="s">
        <v>886</v>
      </c>
      <c r="C19" s="243">
        <v>100000</v>
      </c>
      <c r="D19" s="153" t="s">
        <v>887</v>
      </c>
      <c r="E19" s="146"/>
    </row>
    <row r="20" spans="1:5" ht="15" thickBot="1" x14ac:dyDescent="0.4">
      <c r="A20" s="156"/>
      <c r="B20" s="157"/>
      <c r="C20" s="157"/>
      <c r="D20" s="158"/>
      <c r="E20" s="146"/>
    </row>
    <row r="21" spans="1:5" ht="15" thickBot="1" x14ac:dyDescent="0.4">
      <c r="A21" s="124"/>
      <c r="B21" s="8"/>
      <c r="C21" s="154" t="s">
        <v>65</v>
      </c>
      <c r="D21" s="155" t="s">
        <v>150</v>
      </c>
      <c r="E21" s="146"/>
    </row>
    <row r="22" spans="1:5" x14ac:dyDescent="0.35">
      <c r="A22" s="135" t="s">
        <v>405</v>
      </c>
      <c r="B22" s="2" t="s">
        <v>395</v>
      </c>
      <c r="C22" s="244">
        <v>130000</v>
      </c>
      <c r="D22" s="125"/>
      <c r="E22" s="146"/>
    </row>
    <row r="23" spans="1:5" x14ac:dyDescent="0.35">
      <c r="A23" s="124"/>
      <c r="B23" s="2" t="s">
        <v>394</v>
      </c>
      <c r="C23" s="232">
        <v>0</v>
      </c>
      <c r="D23" s="125"/>
      <c r="E23" s="146"/>
    </row>
    <row r="24" spans="1:5" x14ac:dyDescent="0.35">
      <c r="A24" s="124"/>
      <c r="B24" s="2" t="s">
        <v>396</v>
      </c>
      <c r="C24" s="232">
        <v>0</v>
      </c>
      <c r="D24" s="125"/>
      <c r="E24" s="146"/>
    </row>
    <row r="25" spans="1:5" x14ac:dyDescent="0.35">
      <c r="A25" s="124"/>
      <c r="B25" s="2" t="s">
        <v>397</v>
      </c>
      <c r="C25" s="232">
        <v>0</v>
      </c>
      <c r="D25" s="125"/>
      <c r="E25" s="146"/>
    </row>
    <row r="26" spans="1:5" x14ac:dyDescent="0.35">
      <c r="A26" s="124"/>
      <c r="B26" s="2" t="s">
        <v>398</v>
      </c>
      <c r="C26" s="232">
        <f>SUM(C22:C25)</f>
        <v>130000</v>
      </c>
      <c r="D26" s="125"/>
      <c r="E26" s="146"/>
    </row>
    <row r="27" spans="1:5" x14ac:dyDescent="0.35">
      <c r="A27" s="124"/>
      <c r="B27" s="2" t="s">
        <v>399</v>
      </c>
      <c r="C27" s="232">
        <v>200</v>
      </c>
      <c r="D27" s="125" t="s">
        <v>401</v>
      </c>
      <c r="E27" s="146"/>
    </row>
    <row r="28" spans="1:5" x14ac:dyDescent="0.35">
      <c r="A28" s="124"/>
      <c r="B28" s="2" t="s">
        <v>400</v>
      </c>
      <c r="C28" s="232">
        <v>500</v>
      </c>
      <c r="D28" s="125" t="s">
        <v>401</v>
      </c>
      <c r="E28" s="146"/>
    </row>
    <row r="29" spans="1:5" x14ac:dyDescent="0.35">
      <c r="A29" s="124"/>
      <c r="B29" s="2" t="s">
        <v>885</v>
      </c>
      <c r="C29" s="232">
        <v>300</v>
      </c>
      <c r="D29" s="125" t="s">
        <v>401</v>
      </c>
      <c r="E29" s="146"/>
    </row>
    <row r="30" spans="1:5" x14ac:dyDescent="0.35">
      <c r="A30" s="124"/>
      <c r="B30" s="4" t="s">
        <v>402</v>
      </c>
      <c r="C30" s="232">
        <v>25</v>
      </c>
      <c r="D30" s="125" t="s">
        <v>404</v>
      </c>
      <c r="E30" s="146"/>
    </row>
    <row r="31" spans="1:5" x14ac:dyDescent="0.35">
      <c r="A31" s="124"/>
      <c r="B31" s="152" t="s">
        <v>403</v>
      </c>
      <c r="C31" s="243">
        <v>5</v>
      </c>
      <c r="D31" s="153" t="s">
        <v>404</v>
      </c>
      <c r="E31" s="146"/>
    </row>
    <row r="32" spans="1:5" x14ac:dyDescent="0.35">
      <c r="A32" s="124"/>
      <c r="B32" s="152" t="s">
        <v>1186</v>
      </c>
      <c r="C32" s="243">
        <v>70</v>
      </c>
      <c r="D32" s="153" t="s">
        <v>404</v>
      </c>
      <c r="E32" s="146"/>
    </row>
    <row r="33" spans="1:5" x14ac:dyDescent="0.35">
      <c r="A33" s="124"/>
      <c r="B33" s="152" t="s">
        <v>886</v>
      </c>
      <c r="C33" s="243">
        <v>100000</v>
      </c>
      <c r="D33" s="153" t="s">
        <v>887</v>
      </c>
      <c r="E33" s="146"/>
    </row>
    <row r="34" spans="1:5" ht="15" thickBot="1" x14ac:dyDescent="0.4">
      <c r="A34" s="156"/>
      <c r="B34" s="157"/>
      <c r="C34" s="157"/>
      <c r="D34" s="158"/>
      <c r="E34" s="146"/>
    </row>
    <row r="35" spans="1:5" ht="15" thickBot="1" x14ac:dyDescent="0.4">
      <c r="A35" s="137"/>
      <c r="B35" s="131"/>
      <c r="C35" s="138" t="s">
        <v>65</v>
      </c>
      <c r="D35" s="139" t="s">
        <v>150</v>
      </c>
      <c r="E35" s="146"/>
    </row>
    <row r="36" spans="1:5" x14ac:dyDescent="0.35">
      <c r="A36" s="135" t="s">
        <v>406</v>
      </c>
      <c r="B36" s="2" t="s">
        <v>395</v>
      </c>
      <c r="C36" s="244">
        <v>130000</v>
      </c>
      <c r="D36" s="125"/>
      <c r="E36" s="146"/>
    </row>
    <row r="37" spans="1:5" x14ac:dyDescent="0.35">
      <c r="A37" s="124"/>
      <c r="B37" s="2" t="s">
        <v>394</v>
      </c>
      <c r="C37" s="232">
        <v>0</v>
      </c>
      <c r="D37" s="125"/>
      <c r="E37" s="146"/>
    </row>
    <row r="38" spans="1:5" x14ac:dyDescent="0.35">
      <c r="A38" s="124"/>
      <c r="B38" s="2" t="s">
        <v>396</v>
      </c>
      <c r="C38" s="232">
        <v>0</v>
      </c>
      <c r="D38" s="125"/>
      <c r="E38" s="146"/>
    </row>
    <row r="39" spans="1:5" x14ac:dyDescent="0.35">
      <c r="A39" s="124"/>
      <c r="B39" s="2" t="s">
        <v>397</v>
      </c>
      <c r="C39" s="232">
        <v>0</v>
      </c>
      <c r="D39" s="125"/>
      <c r="E39" s="146"/>
    </row>
    <row r="40" spans="1:5" x14ac:dyDescent="0.35">
      <c r="A40" s="124"/>
      <c r="B40" s="2" t="s">
        <v>398</v>
      </c>
      <c r="C40" s="232">
        <f>SUM(C36:C39)</f>
        <v>130000</v>
      </c>
      <c r="D40" s="125"/>
      <c r="E40" s="146"/>
    </row>
    <row r="41" spans="1:5" x14ac:dyDescent="0.35">
      <c r="A41" s="124"/>
      <c r="B41" s="2" t="s">
        <v>399</v>
      </c>
      <c r="C41" s="232">
        <v>200</v>
      </c>
      <c r="D41" s="125" t="s">
        <v>401</v>
      </c>
      <c r="E41" s="146"/>
    </row>
    <row r="42" spans="1:5" x14ac:dyDescent="0.35">
      <c r="A42" s="124"/>
      <c r="B42" s="2" t="s">
        <v>400</v>
      </c>
      <c r="C42" s="232">
        <v>500</v>
      </c>
      <c r="D42" s="125" t="s">
        <v>401</v>
      </c>
      <c r="E42" s="146"/>
    </row>
    <row r="43" spans="1:5" x14ac:dyDescent="0.35">
      <c r="A43" s="124"/>
      <c r="B43" s="2" t="s">
        <v>885</v>
      </c>
      <c r="C43" s="232">
        <v>300</v>
      </c>
      <c r="D43" s="125" t="s">
        <v>401</v>
      </c>
      <c r="E43" s="146"/>
    </row>
    <row r="44" spans="1:5" x14ac:dyDescent="0.35">
      <c r="A44" s="124"/>
      <c r="B44" s="4" t="s">
        <v>402</v>
      </c>
      <c r="C44" s="232">
        <v>0</v>
      </c>
      <c r="D44" s="125" t="s">
        <v>404</v>
      </c>
      <c r="E44" s="146"/>
    </row>
    <row r="45" spans="1:5" x14ac:dyDescent="0.35">
      <c r="A45" s="124"/>
      <c r="B45" s="4" t="s">
        <v>403</v>
      </c>
      <c r="C45" s="232">
        <v>0</v>
      </c>
      <c r="D45" s="125" t="s">
        <v>404</v>
      </c>
      <c r="E45" s="146"/>
    </row>
    <row r="46" spans="1:5" x14ac:dyDescent="0.35">
      <c r="A46" s="124"/>
      <c r="B46" s="152" t="s">
        <v>1186</v>
      </c>
      <c r="C46" s="243">
        <v>40</v>
      </c>
      <c r="D46" s="153" t="s">
        <v>404</v>
      </c>
      <c r="E46" s="146"/>
    </row>
    <row r="47" spans="1:5" ht="15" thickBot="1" x14ac:dyDescent="0.4">
      <c r="A47" s="127"/>
      <c r="B47" s="128" t="s">
        <v>886</v>
      </c>
      <c r="C47" s="241">
        <v>100000</v>
      </c>
      <c r="D47" s="129" t="s">
        <v>887</v>
      </c>
      <c r="E47" s="146"/>
    </row>
    <row r="48" spans="1:5" ht="15" thickBot="1" x14ac:dyDescent="0.4">
      <c r="A48" s="148"/>
      <c r="B48" s="149"/>
      <c r="C48" s="149"/>
      <c r="D48" s="149"/>
      <c r="E48" s="146"/>
    </row>
    <row r="49" spans="1:5" x14ac:dyDescent="0.35">
      <c r="A49" s="137"/>
      <c r="B49" s="131"/>
      <c r="C49" s="138" t="s">
        <v>65</v>
      </c>
      <c r="D49" s="139" t="s">
        <v>150</v>
      </c>
      <c r="E49" s="146"/>
    </row>
    <row r="50" spans="1:5" x14ac:dyDescent="0.35">
      <c r="A50" s="140" t="s">
        <v>410</v>
      </c>
      <c r="B50" s="2" t="s">
        <v>395</v>
      </c>
      <c r="C50" s="25">
        <f>C36+C22+C8</f>
        <v>390000</v>
      </c>
      <c r="D50" s="125"/>
      <c r="E50" s="146"/>
    </row>
    <row r="51" spans="1:5" x14ac:dyDescent="0.35">
      <c r="A51" s="124"/>
      <c r="B51" s="2" t="s">
        <v>394</v>
      </c>
      <c r="C51" s="25">
        <f>C37+C23+C9</f>
        <v>0</v>
      </c>
      <c r="D51" s="125"/>
      <c r="E51" s="146"/>
    </row>
    <row r="52" spans="1:5" x14ac:dyDescent="0.35">
      <c r="A52" s="124"/>
      <c r="B52" s="2" t="s">
        <v>396</v>
      </c>
      <c r="C52" s="25">
        <f>C38+C24+C10</f>
        <v>0</v>
      </c>
      <c r="D52" s="125"/>
      <c r="E52" s="146"/>
    </row>
    <row r="53" spans="1:5" x14ac:dyDescent="0.35">
      <c r="A53" s="124"/>
      <c r="B53" s="2" t="s">
        <v>397</v>
      </c>
      <c r="C53" s="25">
        <f>C39+C25+C11</f>
        <v>0</v>
      </c>
      <c r="D53" s="125"/>
      <c r="E53" s="146"/>
    </row>
    <row r="54" spans="1:5" x14ac:dyDescent="0.35">
      <c r="A54" s="124"/>
      <c r="B54" s="2" t="s">
        <v>398</v>
      </c>
      <c r="C54" s="25">
        <f>SUM(C50:C53)</f>
        <v>390000</v>
      </c>
      <c r="D54" s="125"/>
      <c r="E54" s="146"/>
    </row>
    <row r="55" spans="1:5" x14ac:dyDescent="0.35">
      <c r="A55" s="124"/>
      <c r="B55" s="2" t="s">
        <v>465</v>
      </c>
      <c r="C55" s="25">
        <v>3</v>
      </c>
      <c r="D55" s="125"/>
      <c r="E55" s="146"/>
    </row>
    <row r="56" spans="1:5" x14ac:dyDescent="0.35">
      <c r="A56" s="124"/>
      <c r="B56" s="4" t="s">
        <v>402</v>
      </c>
      <c r="C56" s="25">
        <f>C44+C30+C16</f>
        <v>25</v>
      </c>
      <c r="D56" s="125" t="s">
        <v>404</v>
      </c>
      <c r="E56" s="146"/>
    </row>
    <row r="57" spans="1:5" x14ac:dyDescent="0.35">
      <c r="A57" s="124"/>
      <c r="B57" s="152" t="s">
        <v>403</v>
      </c>
      <c r="C57" s="180">
        <f>C45+C31+C17</f>
        <v>5</v>
      </c>
      <c r="D57" s="153" t="s">
        <v>404</v>
      </c>
      <c r="E57" s="146"/>
    </row>
    <row r="58" spans="1:5" x14ac:dyDescent="0.35">
      <c r="A58" s="124"/>
      <c r="B58" s="152" t="s">
        <v>1186</v>
      </c>
      <c r="C58" s="180">
        <f>C46+C32+C18</f>
        <v>160</v>
      </c>
      <c r="D58" s="153" t="s">
        <v>404</v>
      </c>
      <c r="E58" s="146"/>
    </row>
    <row r="59" spans="1:5" ht="15" thickBot="1" x14ac:dyDescent="0.4">
      <c r="A59" s="127"/>
      <c r="B59" s="128" t="s">
        <v>886</v>
      </c>
      <c r="C59" s="141">
        <f>C47+C33+C19</f>
        <v>300000</v>
      </c>
      <c r="D59" s="129" t="s">
        <v>887</v>
      </c>
      <c r="E59" s="146"/>
    </row>
    <row r="60" spans="1:5" ht="15" thickBot="1" x14ac:dyDescent="0.4">
      <c r="A60" s="150"/>
      <c r="B60" s="151"/>
      <c r="C60" s="151"/>
      <c r="D60" s="151"/>
      <c r="E60" s="147"/>
    </row>
    <row r="62" spans="1:5" ht="15" thickBot="1" x14ac:dyDescent="0.4"/>
    <row r="63" spans="1:5" x14ac:dyDescent="0.35">
      <c r="A63" s="159" t="s">
        <v>72</v>
      </c>
      <c r="B63" s="142"/>
      <c r="C63" s="142"/>
      <c r="D63" s="142"/>
      <c r="E63" s="143"/>
    </row>
    <row r="64" spans="1:5" ht="15" thickBot="1" x14ac:dyDescent="0.4">
      <c r="A64" s="124"/>
      <c r="B64" s="8"/>
      <c r="C64" s="121" t="s">
        <v>65</v>
      </c>
      <c r="D64" s="121" t="s">
        <v>150</v>
      </c>
      <c r="E64" s="160"/>
    </row>
    <row r="65" spans="1:5" x14ac:dyDescent="0.35">
      <c r="A65" s="136" t="s">
        <v>393</v>
      </c>
      <c r="B65" s="122" t="s">
        <v>395</v>
      </c>
      <c r="C65" s="244">
        <v>130000</v>
      </c>
      <c r="D65" s="123"/>
      <c r="E65" s="160"/>
    </row>
    <row r="66" spans="1:5" x14ac:dyDescent="0.35">
      <c r="A66" s="124"/>
      <c r="B66" s="2" t="s">
        <v>394</v>
      </c>
      <c r="C66" s="232">
        <v>0</v>
      </c>
      <c r="D66" s="125"/>
      <c r="E66" s="160"/>
    </row>
    <row r="67" spans="1:5" x14ac:dyDescent="0.35">
      <c r="A67" s="124"/>
      <c r="B67" s="2" t="s">
        <v>396</v>
      </c>
      <c r="C67" s="232">
        <v>0</v>
      </c>
      <c r="D67" s="125"/>
      <c r="E67" s="160"/>
    </row>
    <row r="68" spans="1:5" x14ac:dyDescent="0.35">
      <c r="A68" s="124"/>
      <c r="B68" s="2" t="s">
        <v>397</v>
      </c>
      <c r="C68" s="232">
        <v>0</v>
      </c>
      <c r="D68" s="125"/>
      <c r="E68" s="160"/>
    </row>
    <row r="69" spans="1:5" x14ac:dyDescent="0.35">
      <c r="A69" s="124"/>
      <c r="B69" s="2" t="s">
        <v>398</v>
      </c>
      <c r="C69" s="232">
        <f>SUM(C65:C68)</f>
        <v>130000</v>
      </c>
      <c r="D69" s="125"/>
      <c r="E69" s="160"/>
    </row>
    <row r="70" spans="1:5" x14ac:dyDescent="0.35">
      <c r="A70" s="124"/>
      <c r="B70" s="2" t="s">
        <v>399</v>
      </c>
      <c r="C70" s="232">
        <v>200</v>
      </c>
      <c r="D70" s="125" t="s">
        <v>401</v>
      </c>
      <c r="E70" s="160"/>
    </row>
    <row r="71" spans="1:5" x14ac:dyDescent="0.35">
      <c r="A71" s="124"/>
      <c r="B71" s="2" t="s">
        <v>400</v>
      </c>
      <c r="C71" s="232">
        <v>500</v>
      </c>
      <c r="D71" s="125" t="s">
        <v>401</v>
      </c>
      <c r="E71" s="160"/>
    </row>
    <row r="72" spans="1:5" x14ac:dyDescent="0.35">
      <c r="A72" s="124"/>
      <c r="B72" s="2" t="s">
        <v>885</v>
      </c>
      <c r="C72" s="232">
        <v>300</v>
      </c>
      <c r="D72" s="125" t="s">
        <v>401</v>
      </c>
      <c r="E72" s="160"/>
    </row>
    <row r="73" spans="1:5" x14ac:dyDescent="0.35">
      <c r="A73" s="124"/>
      <c r="B73" s="4" t="s">
        <v>402</v>
      </c>
      <c r="C73" s="232">
        <v>0</v>
      </c>
      <c r="D73" s="125" t="s">
        <v>404</v>
      </c>
      <c r="E73" s="160"/>
    </row>
    <row r="74" spans="1:5" x14ac:dyDescent="0.35">
      <c r="A74" s="124"/>
      <c r="B74" s="152" t="s">
        <v>403</v>
      </c>
      <c r="C74" s="243">
        <v>0</v>
      </c>
      <c r="D74" s="153" t="s">
        <v>404</v>
      </c>
      <c r="E74" s="160"/>
    </row>
    <row r="75" spans="1:5" x14ac:dyDescent="0.35">
      <c r="A75" s="124"/>
      <c r="B75" s="152" t="s">
        <v>1186</v>
      </c>
      <c r="C75" s="243">
        <v>40</v>
      </c>
      <c r="D75" s="153" t="s">
        <v>404</v>
      </c>
      <c r="E75" s="160"/>
    </row>
    <row r="76" spans="1:5" x14ac:dyDescent="0.35">
      <c r="A76" s="124"/>
      <c r="B76" s="152" t="s">
        <v>886</v>
      </c>
      <c r="C76" s="243">
        <v>100000</v>
      </c>
      <c r="D76" s="153" t="s">
        <v>887</v>
      </c>
      <c r="E76" s="160"/>
    </row>
    <row r="77" spans="1:5" ht="15" thickBot="1" x14ac:dyDescent="0.4">
      <c r="A77" s="156"/>
      <c r="B77" s="157"/>
      <c r="C77" s="157"/>
      <c r="D77" s="158"/>
      <c r="E77" s="160"/>
    </row>
    <row r="78" spans="1:5" ht="15" thickBot="1" x14ac:dyDescent="0.4">
      <c r="A78" s="124"/>
      <c r="B78" s="8"/>
      <c r="C78" s="154" t="s">
        <v>65</v>
      </c>
      <c r="D78" s="155" t="s">
        <v>150</v>
      </c>
      <c r="E78" s="160"/>
    </row>
    <row r="79" spans="1:5" x14ac:dyDescent="0.35">
      <c r="A79" s="135" t="s">
        <v>405</v>
      </c>
      <c r="B79" s="2" t="s">
        <v>395</v>
      </c>
      <c r="C79" s="244">
        <v>130000</v>
      </c>
      <c r="D79" s="125"/>
      <c r="E79" s="160"/>
    </row>
    <row r="80" spans="1:5" x14ac:dyDescent="0.35">
      <c r="A80" s="124"/>
      <c r="B80" s="2" t="s">
        <v>394</v>
      </c>
      <c r="C80" s="232">
        <v>0</v>
      </c>
      <c r="D80" s="125"/>
      <c r="E80" s="160"/>
    </row>
    <row r="81" spans="1:5" x14ac:dyDescent="0.35">
      <c r="A81" s="124"/>
      <c r="B81" s="2" t="s">
        <v>396</v>
      </c>
      <c r="C81" s="232">
        <v>0</v>
      </c>
      <c r="D81" s="125"/>
      <c r="E81" s="160"/>
    </row>
    <row r="82" spans="1:5" x14ac:dyDescent="0.35">
      <c r="A82" s="124"/>
      <c r="B82" s="2" t="s">
        <v>397</v>
      </c>
      <c r="C82" s="232">
        <v>0</v>
      </c>
      <c r="D82" s="125"/>
      <c r="E82" s="160"/>
    </row>
    <row r="83" spans="1:5" x14ac:dyDescent="0.35">
      <c r="A83" s="124"/>
      <c r="B83" s="2" t="s">
        <v>398</v>
      </c>
      <c r="C83" s="232">
        <f>SUM(C79:C82)</f>
        <v>130000</v>
      </c>
      <c r="D83" s="125"/>
      <c r="E83" s="160"/>
    </row>
    <row r="84" spans="1:5" x14ac:dyDescent="0.35">
      <c r="A84" s="124"/>
      <c r="B84" s="2" t="s">
        <v>399</v>
      </c>
      <c r="C84" s="232">
        <v>100</v>
      </c>
      <c r="D84" s="125" t="s">
        <v>401</v>
      </c>
      <c r="E84" s="160"/>
    </row>
    <row r="85" spans="1:5" x14ac:dyDescent="0.35">
      <c r="A85" s="124"/>
      <c r="B85" s="2" t="s">
        <v>400</v>
      </c>
      <c r="C85" s="232">
        <v>400</v>
      </c>
      <c r="D85" s="125" t="s">
        <v>401</v>
      </c>
      <c r="E85" s="160"/>
    </row>
    <row r="86" spans="1:5" x14ac:dyDescent="0.35">
      <c r="A86" s="124"/>
      <c r="B86" s="2" t="s">
        <v>885</v>
      </c>
      <c r="C86" s="232">
        <v>300</v>
      </c>
      <c r="D86" s="125" t="s">
        <v>401</v>
      </c>
      <c r="E86" s="160"/>
    </row>
    <row r="87" spans="1:5" x14ac:dyDescent="0.35">
      <c r="A87" s="124"/>
      <c r="B87" s="4" t="s">
        <v>402</v>
      </c>
      <c r="C87" s="232">
        <v>25</v>
      </c>
      <c r="D87" s="125" t="s">
        <v>404</v>
      </c>
      <c r="E87" s="160"/>
    </row>
    <row r="88" spans="1:5" x14ac:dyDescent="0.35">
      <c r="A88" s="124"/>
      <c r="B88" s="152" t="s">
        <v>403</v>
      </c>
      <c r="C88" s="243">
        <v>5</v>
      </c>
      <c r="D88" s="153" t="s">
        <v>404</v>
      </c>
      <c r="E88" s="160"/>
    </row>
    <row r="89" spans="1:5" x14ac:dyDescent="0.35">
      <c r="A89" s="124"/>
      <c r="B89" s="152" t="s">
        <v>1186</v>
      </c>
      <c r="C89" s="243">
        <v>100</v>
      </c>
      <c r="D89" s="153" t="s">
        <v>404</v>
      </c>
      <c r="E89" s="160"/>
    </row>
    <row r="90" spans="1:5" x14ac:dyDescent="0.35">
      <c r="A90" s="124"/>
      <c r="B90" s="152" t="s">
        <v>886</v>
      </c>
      <c r="C90" s="243">
        <v>100000</v>
      </c>
      <c r="D90" s="153" t="s">
        <v>887</v>
      </c>
      <c r="E90" s="160"/>
    </row>
    <row r="91" spans="1:5" ht="15" thickBot="1" x14ac:dyDescent="0.4">
      <c r="A91" s="156"/>
      <c r="B91" s="157"/>
      <c r="C91" s="157"/>
      <c r="D91" s="158"/>
      <c r="E91" s="160"/>
    </row>
    <row r="92" spans="1:5" ht="15" thickBot="1" x14ac:dyDescent="0.4">
      <c r="A92" s="124"/>
      <c r="B92" s="8"/>
      <c r="C92" s="154" t="s">
        <v>65</v>
      </c>
      <c r="D92" s="155" t="s">
        <v>150</v>
      </c>
      <c r="E92" s="160"/>
    </row>
    <row r="93" spans="1:5" x14ac:dyDescent="0.35">
      <c r="A93" s="135" t="s">
        <v>406</v>
      </c>
      <c r="B93" s="2" t="s">
        <v>395</v>
      </c>
      <c r="C93" s="244">
        <v>130000</v>
      </c>
      <c r="D93" s="125"/>
      <c r="E93" s="160"/>
    </row>
    <row r="94" spans="1:5" x14ac:dyDescent="0.35">
      <c r="A94" s="124"/>
      <c r="B94" s="2" t="s">
        <v>394</v>
      </c>
      <c r="C94" s="232">
        <v>0</v>
      </c>
      <c r="D94" s="125"/>
      <c r="E94" s="160"/>
    </row>
    <row r="95" spans="1:5" x14ac:dyDescent="0.35">
      <c r="A95" s="124"/>
      <c r="B95" s="2" t="s">
        <v>396</v>
      </c>
      <c r="C95" s="232">
        <v>0</v>
      </c>
      <c r="D95" s="125"/>
      <c r="E95" s="160"/>
    </row>
    <row r="96" spans="1:5" x14ac:dyDescent="0.35">
      <c r="A96" s="124"/>
      <c r="B96" s="2" t="s">
        <v>397</v>
      </c>
      <c r="C96" s="232">
        <v>0</v>
      </c>
      <c r="D96" s="125"/>
      <c r="E96" s="160"/>
    </row>
    <row r="97" spans="1:5" x14ac:dyDescent="0.35">
      <c r="A97" s="124"/>
      <c r="B97" s="2" t="s">
        <v>398</v>
      </c>
      <c r="C97" s="232">
        <f>SUM(C93:C96)</f>
        <v>130000</v>
      </c>
      <c r="D97" s="125"/>
      <c r="E97" s="160"/>
    </row>
    <row r="98" spans="1:5" x14ac:dyDescent="0.35">
      <c r="A98" s="124"/>
      <c r="B98" s="2" t="s">
        <v>399</v>
      </c>
      <c r="C98" s="232">
        <v>300</v>
      </c>
      <c r="D98" s="125" t="s">
        <v>401</v>
      </c>
      <c r="E98" s="160"/>
    </row>
    <row r="99" spans="1:5" x14ac:dyDescent="0.35">
      <c r="A99" s="124"/>
      <c r="B99" s="2" t="s">
        <v>400</v>
      </c>
      <c r="C99" s="232">
        <v>550</v>
      </c>
      <c r="D99" s="125" t="s">
        <v>401</v>
      </c>
      <c r="E99" s="160"/>
    </row>
    <row r="100" spans="1:5" x14ac:dyDescent="0.35">
      <c r="A100" s="124"/>
      <c r="B100" s="2" t="s">
        <v>885</v>
      </c>
      <c r="C100" s="232">
        <v>300</v>
      </c>
      <c r="D100" s="125" t="s">
        <v>401</v>
      </c>
      <c r="E100" s="160"/>
    </row>
    <row r="101" spans="1:5" x14ac:dyDescent="0.35">
      <c r="A101" s="124"/>
      <c r="B101" s="4" t="s">
        <v>402</v>
      </c>
      <c r="C101" s="232">
        <v>0</v>
      </c>
      <c r="D101" s="125" t="s">
        <v>404</v>
      </c>
      <c r="E101" s="160"/>
    </row>
    <row r="102" spans="1:5" x14ac:dyDescent="0.35">
      <c r="A102" s="124"/>
      <c r="B102" s="152" t="s">
        <v>403</v>
      </c>
      <c r="C102" s="243">
        <v>0</v>
      </c>
      <c r="D102" s="153" t="s">
        <v>404</v>
      </c>
      <c r="E102" s="160"/>
    </row>
    <row r="103" spans="1:5" x14ac:dyDescent="0.35">
      <c r="A103" s="124"/>
      <c r="B103" s="152" t="s">
        <v>1186</v>
      </c>
      <c r="C103" s="243">
        <v>60</v>
      </c>
      <c r="D103" s="153" t="s">
        <v>404</v>
      </c>
      <c r="E103" s="160"/>
    </row>
    <row r="104" spans="1:5" x14ac:dyDescent="0.35">
      <c r="A104" s="124"/>
      <c r="B104" s="152" t="s">
        <v>886</v>
      </c>
      <c r="C104" s="243">
        <v>100000</v>
      </c>
      <c r="D104" s="153" t="s">
        <v>887</v>
      </c>
      <c r="E104" s="160"/>
    </row>
    <row r="105" spans="1:5" ht="15" thickBot="1" x14ac:dyDescent="0.4">
      <c r="A105" s="165"/>
      <c r="B105" s="166"/>
      <c r="C105" s="166"/>
      <c r="D105" s="166"/>
      <c r="E105" s="160"/>
    </row>
    <row r="106" spans="1:5" ht="15" thickBot="1" x14ac:dyDescent="0.4">
      <c r="A106" s="124"/>
      <c r="B106" s="8"/>
      <c r="C106" s="154" t="s">
        <v>65</v>
      </c>
      <c r="D106" s="155" t="s">
        <v>150</v>
      </c>
      <c r="E106" s="160"/>
    </row>
    <row r="107" spans="1:5" x14ac:dyDescent="0.35">
      <c r="A107" s="135" t="s">
        <v>411</v>
      </c>
      <c r="B107" s="2" t="s">
        <v>395</v>
      </c>
      <c r="C107" s="244">
        <v>130000</v>
      </c>
      <c r="D107" s="125"/>
      <c r="E107" s="160"/>
    </row>
    <row r="108" spans="1:5" x14ac:dyDescent="0.35">
      <c r="A108" s="124"/>
      <c r="B108" s="2" t="s">
        <v>394</v>
      </c>
      <c r="C108" s="232">
        <v>0</v>
      </c>
      <c r="D108" s="125"/>
      <c r="E108" s="160"/>
    </row>
    <row r="109" spans="1:5" x14ac:dyDescent="0.35">
      <c r="A109" s="124"/>
      <c r="B109" s="2" t="s">
        <v>396</v>
      </c>
      <c r="C109" s="232">
        <v>0</v>
      </c>
      <c r="D109" s="125"/>
      <c r="E109" s="160"/>
    </row>
    <row r="110" spans="1:5" x14ac:dyDescent="0.35">
      <c r="A110" s="124"/>
      <c r="B110" s="2" t="s">
        <v>397</v>
      </c>
      <c r="C110" s="232">
        <v>0</v>
      </c>
      <c r="D110" s="125"/>
      <c r="E110" s="160"/>
    </row>
    <row r="111" spans="1:5" x14ac:dyDescent="0.35">
      <c r="A111" s="124"/>
      <c r="B111" s="2" t="s">
        <v>398</v>
      </c>
      <c r="C111" s="232">
        <f>SUM(C107:C110)</f>
        <v>130000</v>
      </c>
      <c r="D111" s="125"/>
      <c r="E111" s="160"/>
    </row>
    <row r="112" spans="1:5" x14ac:dyDescent="0.35">
      <c r="A112" s="124"/>
      <c r="B112" s="2" t="s">
        <v>399</v>
      </c>
      <c r="C112" s="232">
        <v>200</v>
      </c>
      <c r="D112" s="125" t="s">
        <v>401</v>
      </c>
      <c r="E112" s="160"/>
    </row>
    <row r="113" spans="1:5" x14ac:dyDescent="0.35">
      <c r="A113" s="124"/>
      <c r="B113" s="2" t="s">
        <v>400</v>
      </c>
      <c r="C113" s="232">
        <v>500</v>
      </c>
      <c r="D113" s="125" t="s">
        <v>401</v>
      </c>
      <c r="E113" s="160"/>
    </row>
    <row r="114" spans="1:5" x14ac:dyDescent="0.35">
      <c r="A114" s="124"/>
      <c r="B114" s="2" t="s">
        <v>885</v>
      </c>
      <c r="C114" s="232">
        <v>300</v>
      </c>
      <c r="D114" s="125" t="s">
        <v>401</v>
      </c>
      <c r="E114" s="160"/>
    </row>
    <row r="115" spans="1:5" x14ac:dyDescent="0.35">
      <c r="A115" s="124"/>
      <c r="B115" s="2" t="s">
        <v>402</v>
      </c>
      <c r="C115" s="232">
        <v>0</v>
      </c>
      <c r="D115" s="125" t="s">
        <v>404</v>
      </c>
      <c r="E115" s="160"/>
    </row>
    <row r="116" spans="1:5" x14ac:dyDescent="0.35">
      <c r="A116" s="124"/>
      <c r="B116" s="4" t="s">
        <v>403</v>
      </c>
      <c r="C116" s="232">
        <v>0</v>
      </c>
      <c r="D116" s="125" t="s">
        <v>404</v>
      </c>
      <c r="E116" s="160"/>
    </row>
    <row r="117" spans="1:5" x14ac:dyDescent="0.35">
      <c r="A117" s="124"/>
      <c r="B117" s="152" t="s">
        <v>1186</v>
      </c>
      <c r="C117" s="243">
        <v>50</v>
      </c>
      <c r="D117" s="153" t="s">
        <v>404</v>
      </c>
      <c r="E117" s="160"/>
    </row>
    <row r="118" spans="1:5" ht="15" thickBot="1" x14ac:dyDescent="0.4">
      <c r="A118" s="127"/>
      <c r="B118" s="128" t="s">
        <v>886</v>
      </c>
      <c r="C118" s="241">
        <v>100000</v>
      </c>
      <c r="D118" s="129" t="s">
        <v>887</v>
      </c>
      <c r="E118" s="160"/>
    </row>
    <row r="119" spans="1:5" ht="15" thickBot="1" x14ac:dyDescent="0.4">
      <c r="A119" s="124"/>
      <c r="B119" s="9"/>
      <c r="C119" s="242"/>
      <c r="D119" s="164"/>
      <c r="E119" s="160"/>
    </row>
    <row r="120" spans="1:5" x14ac:dyDescent="0.35">
      <c r="A120" s="137"/>
      <c r="B120" s="131"/>
      <c r="C120" s="138" t="s">
        <v>65</v>
      </c>
      <c r="D120" s="139" t="s">
        <v>150</v>
      </c>
      <c r="E120" s="160"/>
    </row>
    <row r="121" spans="1:5" x14ac:dyDescent="0.35">
      <c r="A121" s="140" t="s">
        <v>409</v>
      </c>
      <c r="B121" s="2" t="s">
        <v>395</v>
      </c>
      <c r="C121" s="25">
        <f>C93+C79+C65+C107</f>
        <v>520000</v>
      </c>
      <c r="D121" s="125"/>
      <c r="E121" s="160"/>
    </row>
    <row r="122" spans="1:5" x14ac:dyDescent="0.35">
      <c r="A122" s="124"/>
      <c r="B122" s="2" t="s">
        <v>394</v>
      </c>
      <c r="C122" s="25">
        <f>C94+C80+C66+C108</f>
        <v>0</v>
      </c>
      <c r="D122" s="125"/>
      <c r="E122" s="160"/>
    </row>
    <row r="123" spans="1:5" x14ac:dyDescent="0.35">
      <c r="A123" s="124"/>
      <c r="B123" s="2" t="s">
        <v>396</v>
      </c>
      <c r="C123" s="25">
        <f>C95+C81+C67+C109</f>
        <v>0</v>
      </c>
      <c r="D123" s="125"/>
      <c r="E123" s="160"/>
    </row>
    <row r="124" spans="1:5" x14ac:dyDescent="0.35">
      <c r="A124" s="124"/>
      <c r="B124" s="2" t="s">
        <v>397</v>
      </c>
      <c r="C124" s="25">
        <f>C96+C82+C68+C110</f>
        <v>0</v>
      </c>
      <c r="D124" s="125"/>
      <c r="E124" s="160"/>
    </row>
    <row r="125" spans="1:5" x14ac:dyDescent="0.35">
      <c r="A125" s="124"/>
      <c r="B125" s="2" t="s">
        <v>398</v>
      </c>
      <c r="C125" s="25">
        <f>SUM(C121:C124)</f>
        <v>520000</v>
      </c>
      <c r="D125" s="125"/>
      <c r="E125" s="160"/>
    </row>
    <row r="126" spans="1:5" x14ac:dyDescent="0.35">
      <c r="A126" s="124"/>
      <c r="B126" s="2" t="s">
        <v>465</v>
      </c>
      <c r="C126" s="25">
        <v>4</v>
      </c>
      <c r="D126" s="125"/>
      <c r="E126" s="160"/>
    </row>
    <row r="127" spans="1:5" x14ac:dyDescent="0.35">
      <c r="A127" s="124"/>
      <c r="B127" s="4" t="s">
        <v>402</v>
      </c>
      <c r="C127" s="25">
        <f>C101+C87+C73+C115</f>
        <v>25</v>
      </c>
      <c r="D127" s="125" t="s">
        <v>404</v>
      </c>
      <c r="E127" s="160"/>
    </row>
    <row r="128" spans="1:5" x14ac:dyDescent="0.35">
      <c r="A128" s="124"/>
      <c r="B128" s="4" t="s">
        <v>403</v>
      </c>
      <c r="C128" s="25">
        <f t="shared" ref="C128:C130" si="0">C102+C88+C74+C116</f>
        <v>5</v>
      </c>
      <c r="D128" s="125" t="s">
        <v>404</v>
      </c>
      <c r="E128" s="160"/>
    </row>
    <row r="129" spans="1:5" x14ac:dyDescent="0.35">
      <c r="A129" s="124"/>
      <c r="B129" s="4" t="s">
        <v>1186</v>
      </c>
      <c r="C129" s="25">
        <f t="shared" si="0"/>
        <v>250</v>
      </c>
      <c r="D129" s="2" t="s">
        <v>404</v>
      </c>
      <c r="E129" s="160"/>
    </row>
    <row r="130" spans="1:5" ht="15" thickBot="1" x14ac:dyDescent="0.4">
      <c r="A130" s="127"/>
      <c r="B130" s="4" t="s">
        <v>886</v>
      </c>
      <c r="C130" s="25">
        <f t="shared" si="0"/>
        <v>400000</v>
      </c>
      <c r="D130" s="2" t="s">
        <v>887</v>
      </c>
      <c r="E130" s="160"/>
    </row>
    <row r="131" spans="1:5" ht="15" thickBot="1" x14ac:dyDescent="0.4">
      <c r="A131" s="162"/>
      <c r="B131" s="163"/>
      <c r="C131" s="163"/>
      <c r="D131" s="163"/>
      <c r="E131" s="161"/>
    </row>
    <row r="132" spans="1:5" ht="15" thickBot="1" x14ac:dyDescent="0.4"/>
    <row r="133" spans="1:5" x14ac:dyDescent="0.35">
      <c r="A133" s="172" t="s">
        <v>73</v>
      </c>
      <c r="B133" s="173"/>
      <c r="C133" s="173"/>
      <c r="D133" s="173"/>
      <c r="E133" s="170"/>
    </row>
    <row r="134" spans="1:5" ht="15" thickBot="1" x14ac:dyDescent="0.4">
      <c r="A134" s="124"/>
      <c r="B134" s="8"/>
      <c r="C134" s="121" t="s">
        <v>65</v>
      </c>
      <c r="D134" s="121" t="s">
        <v>150</v>
      </c>
      <c r="E134" s="171"/>
    </row>
    <row r="135" spans="1:5" x14ac:dyDescent="0.35">
      <c r="A135" s="136" t="s">
        <v>393</v>
      </c>
      <c r="B135" s="122" t="s">
        <v>395</v>
      </c>
      <c r="C135" s="244">
        <v>9000</v>
      </c>
      <c r="D135" s="123"/>
      <c r="E135" s="171"/>
    </row>
    <row r="136" spans="1:5" x14ac:dyDescent="0.35">
      <c r="A136" s="124"/>
      <c r="B136" s="2" t="s">
        <v>394</v>
      </c>
      <c r="C136" s="232">
        <v>500</v>
      </c>
      <c r="D136" s="125"/>
      <c r="E136" s="171"/>
    </row>
    <row r="137" spans="1:5" x14ac:dyDescent="0.35">
      <c r="A137" s="124"/>
      <c r="B137" s="2" t="s">
        <v>396</v>
      </c>
      <c r="C137" s="232">
        <v>0</v>
      </c>
      <c r="D137" s="125"/>
      <c r="E137" s="171"/>
    </row>
    <row r="138" spans="1:5" x14ac:dyDescent="0.35">
      <c r="A138" s="124"/>
      <c r="B138" s="2" t="s">
        <v>397</v>
      </c>
      <c r="C138" s="232">
        <v>0</v>
      </c>
      <c r="D138" s="125"/>
      <c r="E138" s="171"/>
    </row>
    <row r="139" spans="1:5" x14ac:dyDescent="0.35">
      <c r="A139" s="124"/>
      <c r="B139" s="2" t="s">
        <v>398</v>
      </c>
      <c r="C139" s="232">
        <f>SUM(C135:C138)</f>
        <v>9500</v>
      </c>
      <c r="D139" s="125"/>
      <c r="E139" s="171"/>
    </row>
    <row r="140" spans="1:5" ht="15" thickBot="1" x14ac:dyDescent="0.4">
      <c r="A140" s="156"/>
      <c r="B140" s="157"/>
      <c r="C140" s="157"/>
      <c r="D140" s="158"/>
      <c r="E140" s="171"/>
    </row>
    <row r="141" spans="1:5" x14ac:dyDescent="0.35">
      <c r="A141" s="124"/>
      <c r="B141" s="8"/>
      <c r="C141" s="154" t="s">
        <v>65</v>
      </c>
      <c r="D141" s="155" t="s">
        <v>150</v>
      </c>
      <c r="E141" s="171"/>
    </row>
    <row r="142" spans="1:5" x14ac:dyDescent="0.35">
      <c r="A142" s="135" t="s">
        <v>405</v>
      </c>
      <c r="B142" s="2" t="s">
        <v>395</v>
      </c>
      <c r="C142" s="232">
        <v>20000</v>
      </c>
      <c r="D142" s="125"/>
      <c r="E142" s="171"/>
    </row>
    <row r="143" spans="1:5" x14ac:dyDescent="0.35">
      <c r="A143" s="124"/>
      <c r="B143" s="2" t="s">
        <v>394</v>
      </c>
      <c r="C143" s="232">
        <v>3000</v>
      </c>
      <c r="D143" s="125"/>
      <c r="E143" s="171"/>
    </row>
    <row r="144" spans="1:5" x14ac:dyDescent="0.35">
      <c r="A144" s="124"/>
      <c r="B144" s="2" t="s">
        <v>396</v>
      </c>
      <c r="C144" s="232">
        <v>0</v>
      </c>
      <c r="D144" s="125"/>
      <c r="E144" s="171"/>
    </row>
    <row r="145" spans="1:5" x14ac:dyDescent="0.35">
      <c r="A145" s="124"/>
      <c r="B145" s="2" t="s">
        <v>397</v>
      </c>
      <c r="C145" s="232">
        <v>0</v>
      </c>
      <c r="D145" s="125"/>
      <c r="E145" s="171"/>
    </row>
    <row r="146" spans="1:5" x14ac:dyDescent="0.35">
      <c r="A146" s="124"/>
      <c r="B146" s="2" t="s">
        <v>398</v>
      </c>
      <c r="C146" s="232">
        <f>SUM(C142:C145)</f>
        <v>23000</v>
      </c>
      <c r="D146" s="125"/>
      <c r="E146" s="171"/>
    </row>
    <row r="147" spans="1:5" ht="15" thickBot="1" x14ac:dyDescent="0.4">
      <c r="A147" s="156"/>
      <c r="B147" s="157"/>
      <c r="C147" s="157"/>
      <c r="D147" s="158"/>
      <c r="E147" s="171"/>
    </row>
    <row r="148" spans="1:5" x14ac:dyDescent="0.35">
      <c r="A148" s="124"/>
      <c r="B148" s="8"/>
      <c r="C148" s="154" t="s">
        <v>65</v>
      </c>
      <c r="D148" s="155" t="s">
        <v>150</v>
      </c>
      <c r="E148" s="171"/>
    </row>
    <row r="149" spans="1:5" x14ac:dyDescent="0.35">
      <c r="A149" s="135" t="s">
        <v>406</v>
      </c>
      <c r="B149" s="2" t="s">
        <v>395</v>
      </c>
      <c r="C149" s="232">
        <v>0</v>
      </c>
      <c r="D149" s="125"/>
      <c r="E149" s="171"/>
    </row>
    <row r="150" spans="1:5" x14ac:dyDescent="0.35">
      <c r="A150" s="124"/>
      <c r="B150" s="2" t="s">
        <v>394</v>
      </c>
      <c r="C150" s="232">
        <v>0</v>
      </c>
      <c r="D150" s="125"/>
      <c r="E150" s="171"/>
    </row>
    <row r="151" spans="1:5" x14ac:dyDescent="0.35">
      <c r="A151" s="124"/>
      <c r="B151" s="2" t="s">
        <v>396</v>
      </c>
      <c r="C151" s="232">
        <v>7000</v>
      </c>
      <c r="D151" s="125"/>
      <c r="E151" s="171"/>
    </row>
    <row r="152" spans="1:5" x14ac:dyDescent="0.35">
      <c r="A152" s="124"/>
      <c r="B152" s="2" t="s">
        <v>397</v>
      </c>
      <c r="C152" s="232">
        <v>0</v>
      </c>
      <c r="D152" s="125"/>
      <c r="E152" s="171"/>
    </row>
    <row r="153" spans="1:5" x14ac:dyDescent="0.35">
      <c r="A153" s="124"/>
      <c r="B153" s="2" t="s">
        <v>398</v>
      </c>
      <c r="C153" s="232">
        <f>SUM(C149:C152)</f>
        <v>7000</v>
      </c>
      <c r="D153" s="125"/>
      <c r="E153" s="171"/>
    </row>
    <row r="154" spans="1:5" ht="15" thickBot="1" x14ac:dyDescent="0.4">
      <c r="A154" s="165"/>
      <c r="B154" s="166"/>
      <c r="C154" s="166"/>
      <c r="D154" s="166"/>
      <c r="E154" s="171"/>
    </row>
    <row r="155" spans="1:5" x14ac:dyDescent="0.35">
      <c r="A155" s="124"/>
      <c r="B155" s="8"/>
      <c r="C155" s="154" t="s">
        <v>65</v>
      </c>
      <c r="D155" s="155" t="s">
        <v>150</v>
      </c>
      <c r="E155" s="171"/>
    </row>
    <row r="156" spans="1:5" x14ac:dyDescent="0.35">
      <c r="A156" s="135" t="s">
        <v>411</v>
      </c>
      <c r="B156" s="2" t="s">
        <v>395</v>
      </c>
      <c r="C156" s="232">
        <v>6000</v>
      </c>
      <c r="D156" s="125"/>
      <c r="E156" s="171"/>
    </row>
    <row r="157" spans="1:5" x14ac:dyDescent="0.35">
      <c r="A157" s="124"/>
      <c r="B157" s="2" t="s">
        <v>394</v>
      </c>
      <c r="C157" s="232">
        <v>0</v>
      </c>
      <c r="D157" s="125"/>
      <c r="E157" s="171"/>
    </row>
    <row r="158" spans="1:5" x14ac:dyDescent="0.35">
      <c r="A158" s="124"/>
      <c r="B158" s="2" t="s">
        <v>396</v>
      </c>
      <c r="C158" s="232">
        <v>0</v>
      </c>
      <c r="D158" s="125"/>
      <c r="E158" s="171"/>
    </row>
    <row r="159" spans="1:5" x14ac:dyDescent="0.35">
      <c r="A159" s="124"/>
      <c r="B159" s="2" t="s">
        <v>397</v>
      </c>
      <c r="C159" s="232">
        <v>200</v>
      </c>
      <c r="D159" s="125"/>
      <c r="E159" s="171"/>
    </row>
    <row r="160" spans="1:5" x14ac:dyDescent="0.35">
      <c r="A160" s="124"/>
      <c r="B160" s="2" t="s">
        <v>398</v>
      </c>
      <c r="C160" s="232">
        <f>SUM(C156:C159)</f>
        <v>6200</v>
      </c>
      <c r="D160" s="125"/>
      <c r="E160" s="171"/>
    </row>
    <row r="161" spans="1:5" ht="15" thickBot="1" x14ac:dyDescent="0.4">
      <c r="A161" s="124"/>
      <c r="B161" s="9"/>
      <c r="C161" s="242"/>
      <c r="D161" s="164"/>
      <c r="E161" s="171"/>
    </row>
    <row r="162" spans="1:5" x14ac:dyDescent="0.35">
      <c r="A162" s="137"/>
      <c r="B162" s="131"/>
      <c r="C162" s="138" t="s">
        <v>65</v>
      </c>
      <c r="D162" s="139" t="s">
        <v>150</v>
      </c>
      <c r="E162" s="171"/>
    </row>
    <row r="163" spans="1:5" x14ac:dyDescent="0.35">
      <c r="A163" s="140" t="s">
        <v>466</v>
      </c>
      <c r="B163" s="2" t="s">
        <v>395</v>
      </c>
      <c r="C163" s="25">
        <f>C149+C142+C135+C156</f>
        <v>35000</v>
      </c>
      <c r="D163" s="125"/>
      <c r="E163" s="171"/>
    </row>
    <row r="164" spans="1:5" x14ac:dyDescent="0.35">
      <c r="A164" s="124"/>
      <c r="B164" s="2" t="s">
        <v>394</v>
      </c>
      <c r="C164" s="25">
        <f>C150+C143+C136+C157</f>
        <v>3500</v>
      </c>
      <c r="D164" s="125"/>
      <c r="E164" s="171"/>
    </row>
    <row r="165" spans="1:5" x14ac:dyDescent="0.35">
      <c r="A165" s="124"/>
      <c r="B165" s="2" t="s">
        <v>396</v>
      </c>
      <c r="C165" s="25">
        <f>C151+C144+C137+C158</f>
        <v>7000</v>
      </c>
      <c r="D165" s="125"/>
      <c r="E165" s="171"/>
    </row>
    <row r="166" spans="1:5" x14ac:dyDescent="0.35">
      <c r="A166" s="124"/>
      <c r="B166" s="2" t="s">
        <v>397</v>
      </c>
      <c r="C166" s="25">
        <f>C152+C145+C138+C159</f>
        <v>200</v>
      </c>
      <c r="D166" s="125"/>
      <c r="E166" s="171"/>
    </row>
    <row r="167" spans="1:5" x14ac:dyDescent="0.35">
      <c r="A167" s="124"/>
      <c r="B167" s="179" t="s">
        <v>398</v>
      </c>
      <c r="C167" s="180">
        <f>SUM(C163:C166)</f>
        <v>45700</v>
      </c>
      <c r="D167" s="153"/>
      <c r="E167" s="171"/>
    </row>
    <row r="168" spans="1:5" x14ac:dyDescent="0.35">
      <c r="A168" s="2"/>
      <c r="B168" s="2" t="s">
        <v>465</v>
      </c>
      <c r="C168" s="25">
        <v>4</v>
      </c>
      <c r="D168" s="2"/>
      <c r="E168" s="171"/>
    </row>
    <row r="169" spans="1:5" ht="15" thickBot="1" x14ac:dyDescent="0.4">
      <c r="A169" s="167"/>
      <c r="B169" s="168"/>
      <c r="C169" s="168"/>
      <c r="D169" s="168"/>
      <c r="E169" s="169"/>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3"/>
  <sheetViews>
    <sheetView workbookViewId="0"/>
  </sheetViews>
  <sheetFormatPr defaultRowHeight="14.5" x14ac:dyDescent="0.35"/>
  <cols>
    <col min="1" max="1" width="50.54296875" customWidth="1"/>
    <col min="2" max="2" width="15.08984375" style="77" customWidth="1"/>
    <col min="3" max="3" width="51" customWidth="1"/>
    <col min="4" max="4" width="55.08984375" customWidth="1"/>
  </cols>
  <sheetData>
    <row r="1" spans="1:4" ht="21.5" thickBot="1" x14ac:dyDescent="0.55000000000000004">
      <c r="A1" s="70" t="s">
        <v>145</v>
      </c>
    </row>
    <row r="3" spans="1:4" x14ac:dyDescent="0.35">
      <c r="A3" s="92" t="s">
        <v>167</v>
      </c>
      <c r="B3" s="93" t="s">
        <v>356</v>
      </c>
      <c r="C3" s="92" t="s">
        <v>169</v>
      </c>
      <c r="D3" s="92" t="s">
        <v>168</v>
      </c>
    </row>
    <row r="4" spans="1:4" ht="43.5" x14ac:dyDescent="0.35">
      <c r="A4" s="83" t="s">
        <v>170</v>
      </c>
      <c r="B4" s="94">
        <v>201.76</v>
      </c>
      <c r="C4" s="95" t="s">
        <v>172</v>
      </c>
      <c r="D4" s="95" t="s">
        <v>171</v>
      </c>
    </row>
    <row r="5" spans="1:4" ht="43.5" x14ac:dyDescent="0.35">
      <c r="A5" s="83" t="s">
        <v>170</v>
      </c>
      <c r="B5" s="94">
        <v>201.76</v>
      </c>
      <c r="C5" s="95" t="s">
        <v>174</v>
      </c>
      <c r="D5" s="95" t="s">
        <v>173</v>
      </c>
    </row>
    <row r="6" spans="1:4" ht="43.5" x14ac:dyDescent="0.35">
      <c r="A6" s="83" t="s">
        <v>175</v>
      </c>
      <c r="B6" s="94">
        <v>12</v>
      </c>
      <c r="C6" s="83" t="s">
        <v>177</v>
      </c>
      <c r="D6" s="95" t="s">
        <v>176</v>
      </c>
    </row>
    <row r="7" spans="1:4" ht="43.5" x14ac:dyDescent="0.35">
      <c r="A7" s="84" t="s">
        <v>178</v>
      </c>
      <c r="B7" s="94">
        <v>17</v>
      </c>
      <c r="C7" s="83" t="s">
        <v>179</v>
      </c>
      <c r="D7" s="95" t="s">
        <v>176</v>
      </c>
    </row>
    <row r="8" spans="1:4" ht="29" x14ac:dyDescent="0.35">
      <c r="A8" s="83" t="s">
        <v>180</v>
      </c>
      <c r="B8" s="94">
        <v>2124</v>
      </c>
      <c r="C8" s="83" t="s">
        <v>182</v>
      </c>
      <c r="D8" s="95" t="s">
        <v>181</v>
      </c>
    </row>
    <row r="9" spans="1:4" x14ac:dyDescent="0.35">
      <c r="A9" s="83" t="s">
        <v>183</v>
      </c>
      <c r="B9" s="94">
        <v>85</v>
      </c>
      <c r="C9" s="83" t="s">
        <v>371</v>
      </c>
      <c r="D9" s="95" t="s">
        <v>184</v>
      </c>
    </row>
    <row r="10" spans="1:4" ht="29" x14ac:dyDescent="0.35">
      <c r="A10" s="83" t="s">
        <v>185</v>
      </c>
      <c r="B10" s="94">
        <v>38.99</v>
      </c>
      <c r="C10" s="95" t="s">
        <v>187</v>
      </c>
      <c r="D10" s="95" t="s">
        <v>186</v>
      </c>
    </row>
    <row r="11" spans="1:4" x14ac:dyDescent="0.35">
      <c r="A11" s="84" t="s">
        <v>188</v>
      </c>
      <c r="B11" s="94">
        <v>19.95</v>
      </c>
      <c r="C11" s="83" t="s">
        <v>190</v>
      </c>
      <c r="D11" s="95" t="s">
        <v>189</v>
      </c>
    </row>
    <row r="12" spans="1:4" ht="29" x14ac:dyDescent="0.35">
      <c r="A12" s="83" t="s">
        <v>191</v>
      </c>
      <c r="B12" s="94">
        <v>102.74</v>
      </c>
      <c r="C12" s="95" t="s">
        <v>193</v>
      </c>
      <c r="D12" s="95" t="s">
        <v>192</v>
      </c>
    </row>
    <row r="13" spans="1:4" ht="29" x14ac:dyDescent="0.35">
      <c r="A13" s="83" t="s">
        <v>194</v>
      </c>
      <c r="B13" s="94">
        <v>2268</v>
      </c>
      <c r="C13" s="83" t="s">
        <v>182</v>
      </c>
      <c r="D13" s="95" t="s">
        <v>195</v>
      </c>
    </row>
    <row r="14" spans="1:4" ht="43.5" x14ac:dyDescent="0.35">
      <c r="A14" s="83" t="s">
        <v>196</v>
      </c>
      <c r="B14" s="94">
        <v>289.99</v>
      </c>
      <c r="C14" s="95" t="s">
        <v>198</v>
      </c>
      <c r="D14" s="95" t="s">
        <v>197</v>
      </c>
    </row>
    <row r="15" spans="1:4" x14ac:dyDescent="0.35">
      <c r="A15" s="83" t="s">
        <v>199</v>
      </c>
      <c r="B15" s="94">
        <v>21.44</v>
      </c>
      <c r="C15" s="83" t="s">
        <v>200</v>
      </c>
      <c r="D15" s="96" t="s">
        <v>189</v>
      </c>
    </row>
    <row r="16" spans="1:4" ht="29" x14ac:dyDescent="0.35">
      <c r="A16" s="83" t="s">
        <v>201</v>
      </c>
      <c r="B16" s="94">
        <v>2187</v>
      </c>
      <c r="C16" s="83" t="s">
        <v>203</v>
      </c>
      <c r="D16" s="95" t="s">
        <v>202</v>
      </c>
    </row>
    <row r="17" spans="1:4" ht="43.5" x14ac:dyDescent="0.35">
      <c r="A17" s="83" t="s">
        <v>1089</v>
      </c>
      <c r="B17" s="94">
        <v>145000</v>
      </c>
      <c r="C17" s="83" t="s">
        <v>1091</v>
      </c>
      <c r="D17" s="95" t="s">
        <v>1090</v>
      </c>
    </row>
    <row r="18" spans="1:4" ht="29" x14ac:dyDescent="0.35">
      <c r="A18" s="83" t="s">
        <v>204</v>
      </c>
      <c r="B18" s="94">
        <v>39.96</v>
      </c>
      <c r="C18" s="95" t="s">
        <v>206</v>
      </c>
      <c r="D18" s="95" t="s">
        <v>205</v>
      </c>
    </row>
    <row r="19" spans="1:4" x14ac:dyDescent="0.35">
      <c r="A19" s="83" t="s">
        <v>207</v>
      </c>
      <c r="B19" s="94">
        <v>35.31</v>
      </c>
      <c r="C19" s="95" t="s">
        <v>209</v>
      </c>
      <c r="D19" s="95" t="s">
        <v>208</v>
      </c>
    </row>
    <row r="20" spans="1:4" ht="29" x14ac:dyDescent="0.35">
      <c r="A20" s="83" t="s">
        <v>210</v>
      </c>
      <c r="B20" s="94">
        <v>11.97</v>
      </c>
      <c r="C20" s="95" t="s">
        <v>212</v>
      </c>
      <c r="D20" s="95" t="s">
        <v>211</v>
      </c>
    </row>
    <row r="21" spans="1:4" x14ac:dyDescent="0.35">
      <c r="A21" s="83" t="s">
        <v>213</v>
      </c>
      <c r="B21" s="94">
        <v>9.75</v>
      </c>
      <c r="C21" s="95" t="s">
        <v>215</v>
      </c>
      <c r="D21" s="96" t="s">
        <v>214</v>
      </c>
    </row>
    <row r="22" spans="1:4" x14ac:dyDescent="0.35">
      <c r="A22" s="83" t="s">
        <v>216</v>
      </c>
      <c r="B22" s="94">
        <v>6.99</v>
      </c>
      <c r="C22" s="95" t="s">
        <v>218</v>
      </c>
      <c r="D22" s="95" t="s">
        <v>217</v>
      </c>
    </row>
    <row r="23" spans="1:4" x14ac:dyDescent="0.35">
      <c r="A23" s="83" t="s">
        <v>219</v>
      </c>
      <c r="B23" s="94">
        <v>438</v>
      </c>
      <c r="C23" s="95" t="s">
        <v>1272</v>
      </c>
      <c r="D23" s="581" t="s">
        <v>1273</v>
      </c>
    </row>
    <row r="24" spans="1:4" ht="43.5" x14ac:dyDescent="0.35">
      <c r="A24" s="83" t="s">
        <v>220</v>
      </c>
      <c r="B24" s="94">
        <v>152.1</v>
      </c>
      <c r="C24" s="83" t="s">
        <v>222</v>
      </c>
      <c r="D24" s="95" t="s">
        <v>221</v>
      </c>
    </row>
    <row r="25" spans="1:4" x14ac:dyDescent="0.35">
      <c r="A25" s="67" t="s">
        <v>366</v>
      </c>
      <c r="B25" s="71">
        <v>40</v>
      </c>
      <c r="C25" s="85" t="s">
        <v>367</v>
      </c>
      <c r="D25" s="95" t="s">
        <v>1080</v>
      </c>
    </row>
    <row r="26" spans="1:4" x14ac:dyDescent="0.35">
      <c r="A26" s="67" t="s">
        <v>365</v>
      </c>
      <c r="B26" s="71">
        <v>30</v>
      </c>
      <c r="C26" s="85" t="s">
        <v>367</v>
      </c>
      <c r="D26" s="95" t="s">
        <v>1080</v>
      </c>
    </row>
    <row r="27" spans="1:4" ht="29" x14ac:dyDescent="0.35">
      <c r="A27" s="83" t="s">
        <v>223</v>
      </c>
      <c r="B27" s="94">
        <v>10.25</v>
      </c>
      <c r="C27" s="97" t="s">
        <v>225</v>
      </c>
      <c r="D27" s="95" t="s">
        <v>224</v>
      </c>
    </row>
    <row r="28" spans="1:4" ht="29" x14ac:dyDescent="0.35">
      <c r="A28" s="83" t="s">
        <v>226</v>
      </c>
      <c r="B28" s="94">
        <v>7.98</v>
      </c>
      <c r="C28" s="95" t="s">
        <v>228</v>
      </c>
      <c r="D28" s="95" t="s">
        <v>227</v>
      </c>
    </row>
    <row r="29" spans="1:4" ht="43.5" x14ac:dyDescent="0.35">
      <c r="A29" s="83" t="s">
        <v>229</v>
      </c>
      <c r="B29" s="94">
        <v>37.880000000000003</v>
      </c>
      <c r="C29" s="83" t="s">
        <v>231</v>
      </c>
      <c r="D29" s="95" t="s">
        <v>230</v>
      </c>
    </row>
    <row r="30" spans="1:4" ht="29" x14ac:dyDescent="0.35">
      <c r="A30" s="83" t="s">
        <v>232</v>
      </c>
      <c r="B30" s="94">
        <v>19.97</v>
      </c>
      <c r="C30" s="95" t="s">
        <v>234</v>
      </c>
      <c r="D30" s="95" t="s">
        <v>233</v>
      </c>
    </row>
    <row r="31" spans="1:4" ht="29" x14ac:dyDescent="0.35">
      <c r="A31" s="83" t="s">
        <v>24</v>
      </c>
      <c r="B31" s="94">
        <v>81.52</v>
      </c>
      <c r="C31" s="95" t="s">
        <v>235</v>
      </c>
      <c r="D31" s="95" t="s">
        <v>192</v>
      </c>
    </row>
    <row r="32" spans="1:4" x14ac:dyDescent="0.35">
      <c r="A32" s="83" t="s">
        <v>236</v>
      </c>
      <c r="B32" s="94">
        <v>39.950000000000003</v>
      </c>
      <c r="C32" s="95" t="s">
        <v>238</v>
      </c>
      <c r="D32" s="95" t="s">
        <v>237</v>
      </c>
    </row>
    <row r="33" spans="1:4" x14ac:dyDescent="0.35">
      <c r="A33" s="83" t="s">
        <v>239</v>
      </c>
      <c r="B33" s="94">
        <v>2.93</v>
      </c>
      <c r="C33" s="83" t="s">
        <v>241</v>
      </c>
      <c r="D33" s="95" t="s">
        <v>240</v>
      </c>
    </row>
    <row r="34" spans="1:4" ht="29" x14ac:dyDescent="0.35">
      <c r="A34" s="83" t="s">
        <v>16</v>
      </c>
      <c r="B34" s="94">
        <v>20</v>
      </c>
      <c r="C34" s="83" t="s">
        <v>372</v>
      </c>
      <c r="D34" s="95" t="s">
        <v>242</v>
      </c>
    </row>
    <row r="35" spans="1:4" x14ac:dyDescent="0.35">
      <c r="A35" s="83" t="s">
        <v>243</v>
      </c>
      <c r="B35" s="94">
        <v>52.5</v>
      </c>
      <c r="C35" s="95" t="s">
        <v>245</v>
      </c>
      <c r="D35" s="95" t="s">
        <v>244</v>
      </c>
    </row>
    <row r="36" spans="1:4" x14ac:dyDescent="0.35">
      <c r="A36" s="83" t="s">
        <v>246</v>
      </c>
      <c r="B36" s="94">
        <v>59.99</v>
      </c>
      <c r="C36" s="83" t="s">
        <v>248</v>
      </c>
      <c r="D36" s="95" t="s">
        <v>247</v>
      </c>
    </row>
    <row r="37" spans="1:4" ht="29" x14ac:dyDescent="0.35">
      <c r="A37" s="83" t="s">
        <v>249</v>
      </c>
      <c r="B37" s="94">
        <v>10.58</v>
      </c>
      <c r="C37" s="95" t="s">
        <v>251</v>
      </c>
      <c r="D37" s="95" t="s">
        <v>250</v>
      </c>
    </row>
    <row r="38" spans="1:4" ht="29" x14ac:dyDescent="0.35">
      <c r="A38" s="83" t="s">
        <v>252</v>
      </c>
      <c r="B38" s="94">
        <v>15.5</v>
      </c>
      <c r="C38" s="98" t="s">
        <v>254</v>
      </c>
      <c r="D38" s="95" t="s">
        <v>253</v>
      </c>
    </row>
    <row r="39" spans="1:4" ht="29" x14ac:dyDescent="0.35">
      <c r="A39" s="83" t="s">
        <v>255</v>
      </c>
      <c r="B39" s="94">
        <v>34.94</v>
      </c>
      <c r="C39" s="95" t="s">
        <v>257</v>
      </c>
      <c r="D39" s="95" t="s">
        <v>256</v>
      </c>
    </row>
    <row r="40" spans="1:4" x14ac:dyDescent="0.35">
      <c r="A40" s="83" t="s">
        <v>258</v>
      </c>
      <c r="B40" s="94">
        <v>39.950000000000003</v>
      </c>
      <c r="C40" s="95" t="s">
        <v>260</v>
      </c>
      <c r="D40" s="95" t="s">
        <v>259</v>
      </c>
    </row>
    <row r="41" spans="1:4" x14ac:dyDescent="0.35">
      <c r="A41" s="86" t="s">
        <v>108</v>
      </c>
      <c r="B41" s="71">
        <v>800</v>
      </c>
      <c r="C41" s="95" t="s">
        <v>369</v>
      </c>
      <c r="D41" s="95" t="s">
        <v>1079</v>
      </c>
    </row>
    <row r="42" spans="1:4" x14ac:dyDescent="0.35">
      <c r="A42" s="87" t="s">
        <v>107</v>
      </c>
      <c r="B42" s="71">
        <v>22</v>
      </c>
      <c r="C42" s="88" t="s">
        <v>368</v>
      </c>
      <c r="D42" s="95" t="s">
        <v>1079</v>
      </c>
    </row>
    <row r="43" spans="1:4" ht="29" x14ac:dyDescent="0.35">
      <c r="A43" s="83" t="s">
        <v>261</v>
      </c>
      <c r="B43" s="94">
        <v>24.98</v>
      </c>
      <c r="C43" s="95" t="s">
        <v>263</v>
      </c>
      <c r="D43" s="95" t="s">
        <v>262</v>
      </c>
    </row>
    <row r="44" spans="1:4" ht="29" x14ac:dyDescent="0.35">
      <c r="A44" s="83" t="s">
        <v>264</v>
      </c>
      <c r="B44" s="94">
        <v>266.95</v>
      </c>
      <c r="C44" s="95" t="s">
        <v>266</v>
      </c>
      <c r="D44" s="95" t="s">
        <v>265</v>
      </c>
    </row>
    <row r="45" spans="1:4" ht="29" x14ac:dyDescent="0.35">
      <c r="A45" s="83" t="s">
        <v>267</v>
      </c>
      <c r="B45" s="94">
        <v>15.97</v>
      </c>
      <c r="C45" s="95" t="s">
        <v>269</v>
      </c>
      <c r="D45" s="95" t="s">
        <v>268</v>
      </c>
    </row>
    <row r="46" spans="1:4" ht="29" x14ac:dyDescent="0.35">
      <c r="A46" s="83" t="s">
        <v>270</v>
      </c>
      <c r="B46" s="94">
        <v>44.98</v>
      </c>
      <c r="C46" s="95" t="s">
        <v>272</v>
      </c>
      <c r="D46" s="95" t="s">
        <v>271</v>
      </c>
    </row>
    <row r="47" spans="1:4" ht="43.5" x14ac:dyDescent="0.35">
      <c r="A47" s="83" t="s">
        <v>273</v>
      </c>
      <c r="B47" s="94">
        <v>4264</v>
      </c>
      <c r="C47" s="99" t="s">
        <v>275</v>
      </c>
      <c r="D47" s="95" t="s">
        <v>274</v>
      </c>
    </row>
    <row r="48" spans="1:4" x14ac:dyDescent="0.35">
      <c r="A48" s="66" t="s">
        <v>158</v>
      </c>
      <c r="B48" s="71">
        <v>4000</v>
      </c>
      <c r="C48" s="86" t="s">
        <v>159</v>
      </c>
      <c r="D48" s="95"/>
    </row>
    <row r="49" spans="1:4" ht="29" x14ac:dyDescent="0.35">
      <c r="A49" s="66" t="s">
        <v>165</v>
      </c>
      <c r="B49" s="71">
        <v>161000</v>
      </c>
      <c r="C49" s="86" t="s">
        <v>166</v>
      </c>
      <c r="D49" s="95" t="s">
        <v>1081</v>
      </c>
    </row>
    <row r="50" spans="1:4" ht="43.5" x14ac:dyDescent="0.35">
      <c r="A50" s="66" t="s">
        <v>1082</v>
      </c>
      <c r="B50" s="71">
        <v>45</v>
      </c>
      <c r="C50" s="86" t="s">
        <v>1083</v>
      </c>
      <c r="D50" s="95" t="s">
        <v>1084</v>
      </c>
    </row>
    <row r="51" spans="1:4" x14ac:dyDescent="0.35">
      <c r="A51" s="83" t="s">
        <v>276</v>
      </c>
      <c r="B51" s="94">
        <v>124</v>
      </c>
      <c r="C51" s="83" t="s">
        <v>278</v>
      </c>
      <c r="D51" s="95" t="s">
        <v>277</v>
      </c>
    </row>
    <row r="52" spans="1:4" ht="29" x14ac:dyDescent="0.35">
      <c r="A52" s="266" t="s">
        <v>276</v>
      </c>
      <c r="B52" s="94">
        <v>8.2899999999999991</v>
      </c>
      <c r="C52" s="83" t="s">
        <v>818</v>
      </c>
      <c r="D52" s="95" t="s">
        <v>819</v>
      </c>
    </row>
    <row r="53" spans="1:4" x14ac:dyDescent="0.35">
      <c r="A53" s="67" t="s">
        <v>129</v>
      </c>
      <c r="B53" s="71">
        <v>35</v>
      </c>
      <c r="C53" s="89" t="s">
        <v>160</v>
      </c>
      <c r="D53" s="95"/>
    </row>
    <row r="54" spans="1:4" ht="43.5" x14ac:dyDescent="0.35">
      <c r="A54" s="83" t="s">
        <v>279</v>
      </c>
      <c r="B54" s="94">
        <v>62.99</v>
      </c>
      <c r="C54" s="83" t="s">
        <v>281</v>
      </c>
      <c r="D54" s="95" t="s">
        <v>280</v>
      </c>
    </row>
    <row r="55" spans="1:4" ht="29" x14ac:dyDescent="0.35">
      <c r="A55" s="83" t="s">
        <v>282</v>
      </c>
      <c r="B55" s="94">
        <v>4.9800000000000004</v>
      </c>
      <c r="C55" s="95" t="s">
        <v>284</v>
      </c>
      <c r="D55" s="95" t="s">
        <v>283</v>
      </c>
    </row>
    <row r="56" spans="1:4" x14ac:dyDescent="0.35">
      <c r="A56" s="64" t="s">
        <v>363</v>
      </c>
      <c r="B56" s="71">
        <v>11.87</v>
      </c>
      <c r="C56" s="453" t="s">
        <v>362</v>
      </c>
      <c r="D56" s="95" t="s">
        <v>1077</v>
      </c>
    </row>
    <row r="57" spans="1:4" x14ac:dyDescent="0.35">
      <c r="A57" s="64" t="s">
        <v>357</v>
      </c>
      <c r="B57" s="71">
        <v>17.510000000000002</v>
      </c>
      <c r="C57" s="453" t="s">
        <v>362</v>
      </c>
      <c r="D57" s="95" t="s">
        <v>1077</v>
      </c>
    </row>
    <row r="58" spans="1:4" x14ac:dyDescent="0.35">
      <c r="A58" s="82" t="s">
        <v>358</v>
      </c>
      <c r="B58" s="71">
        <v>21.62</v>
      </c>
      <c r="C58" s="453" t="s">
        <v>362</v>
      </c>
      <c r="D58" s="95" t="s">
        <v>1077</v>
      </c>
    </row>
    <row r="59" spans="1:4" x14ac:dyDescent="0.35">
      <c r="A59" s="82" t="s">
        <v>359</v>
      </c>
      <c r="B59" s="71">
        <v>19.829999999999998</v>
      </c>
      <c r="C59" s="453" t="s">
        <v>362</v>
      </c>
      <c r="D59" s="95" t="s">
        <v>1077</v>
      </c>
    </row>
    <row r="60" spans="1:4" x14ac:dyDescent="0.35">
      <c r="A60" s="82" t="s">
        <v>360</v>
      </c>
      <c r="B60" s="71">
        <v>19.88</v>
      </c>
      <c r="C60" s="453" t="s">
        <v>362</v>
      </c>
      <c r="D60" s="95" t="s">
        <v>1077</v>
      </c>
    </row>
    <row r="61" spans="1:4" x14ac:dyDescent="0.35">
      <c r="A61" s="82" t="s">
        <v>361</v>
      </c>
      <c r="B61" s="71">
        <v>19.760000000000002</v>
      </c>
      <c r="C61" s="453" t="s">
        <v>362</v>
      </c>
      <c r="D61" s="95" t="s">
        <v>1077</v>
      </c>
    </row>
    <row r="62" spans="1:4" ht="72.5" x14ac:dyDescent="0.35">
      <c r="A62" s="83" t="s">
        <v>285</v>
      </c>
      <c r="B62" s="94">
        <v>18.95</v>
      </c>
      <c r="C62" s="100" t="s">
        <v>287</v>
      </c>
      <c r="D62" s="95" t="s">
        <v>286</v>
      </c>
    </row>
    <row r="63" spans="1:4" ht="101.5" x14ac:dyDescent="0.35">
      <c r="A63" s="83" t="s">
        <v>288</v>
      </c>
      <c r="B63" s="94">
        <v>10.95</v>
      </c>
      <c r="C63" s="100" t="s">
        <v>290</v>
      </c>
      <c r="D63" s="101" t="s">
        <v>289</v>
      </c>
    </row>
    <row r="64" spans="1:4" ht="43.5" x14ac:dyDescent="0.35">
      <c r="A64" s="83" t="s">
        <v>291</v>
      </c>
      <c r="B64" s="94">
        <v>22.5</v>
      </c>
      <c r="C64" s="95" t="s">
        <v>293</v>
      </c>
      <c r="D64" s="95" t="s">
        <v>292</v>
      </c>
    </row>
    <row r="65" spans="1:4" ht="29" x14ac:dyDescent="0.35">
      <c r="A65" s="83" t="s">
        <v>294</v>
      </c>
      <c r="B65" s="94">
        <v>93.02</v>
      </c>
      <c r="C65" s="95" t="s">
        <v>296</v>
      </c>
      <c r="D65" s="95" t="s">
        <v>295</v>
      </c>
    </row>
    <row r="66" spans="1:4" ht="58" x14ac:dyDescent="0.35">
      <c r="A66" s="83" t="s">
        <v>814</v>
      </c>
      <c r="B66" s="94">
        <v>170</v>
      </c>
      <c r="C66" s="95" t="s">
        <v>815</v>
      </c>
      <c r="D66" s="95" t="s">
        <v>816</v>
      </c>
    </row>
    <row r="67" spans="1:4" ht="29" x14ac:dyDescent="0.35">
      <c r="A67" s="83" t="s">
        <v>297</v>
      </c>
      <c r="B67" s="94">
        <v>4.9800000000000004</v>
      </c>
      <c r="C67" s="95" t="s">
        <v>299</v>
      </c>
      <c r="D67" s="95" t="s">
        <v>298</v>
      </c>
    </row>
    <row r="68" spans="1:4" ht="29" x14ac:dyDescent="0.35">
      <c r="A68" s="83" t="s">
        <v>300</v>
      </c>
      <c r="B68" s="94">
        <v>17.98</v>
      </c>
      <c r="C68" s="95" t="s">
        <v>302</v>
      </c>
      <c r="D68" s="95" t="s">
        <v>301</v>
      </c>
    </row>
    <row r="69" spans="1:4" x14ac:dyDescent="0.35">
      <c r="A69" s="83" t="s">
        <v>303</v>
      </c>
      <c r="B69" s="94">
        <v>5000</v>
      </c>
      <c r="C69" s="83"/>
      <c r="D69" s="95" t="s">
        <v>304</v>
      </c>
    </row>
    <row r="70" spans="1:4" ht="29" x14ac:dyDescent="0.35">
      <c r="A70" s="83" t="s">
        <v>305</v>
      </c>
      <c r="B70" s="94">
        <v>99</v>
      </c>
      <c r="C70" s="95" t="s">
        <v>307</v>
      </c>
      <c r="D70" s="95" t="s">
        <v>306</v>
      </c>
    </row>
    <row r="71" spans="1:4" x14ac:dyDescent="0.35">
      <c r="A71" s="83" t="s">
        <v>308</v>
      </c>
      <c r="B71" s="94">
        <v>90</v>
      </c>
      <c r="C71" s="95" t="s">
        <v>310</v>
      </c>
      <c r="D71" s="95" t="s">
        <v>309</v>
      </c>
    </row>
    <row r="72" spans="1:4" x14ac:dyDescent="0.35">
      <c r="A72" s="83" t="s">
        <v>311</v>
      </c>
      <c r="B72" s="94">
        <v>35</v>
      </c>
      <c r="C72" s="95" t="s">
        <v>313</v>
      </c>
      <c r="D72" s="95" t="s">
        <v>312</v>
      </c>
    </row>
    <row r="73" spans="1:4" x14ac:dyDescent="0.35">
      <c r="A73" s="83" t="s">
        <v>18</v>
      </c>
      <c r="B73" s="94">
        <v>875</v>
      </c>
      <c r="C73" s="83" t="s">
        <v>314</v>
      </c>
      <c r="D73" s="95" t="s">
        <v>240</v>
      </c>
    </row>
    <row r="74" spans="1:4" ht="29" x14ac:dyDescent="0.35">
      <c r="A74" s="83" t="s">
        <v>315</v>
      </c>
      <c r="B74" s="94">
        <v>0.5</v>
      </c>
      <c r="C74" s="95" t="s">
        <v>317</v>
      </c>
      <c r="D74" s="95" t="s">
        <v>316</v>
      </c>
    </row>
    <row r="75" spans="1:4" ht="29" x14ac:dyDescent="0.35">
      <c r="A75" s="83" t="s">
        <v>318</v>
      </c>
      <c r="B75" s="94">
        <v>38.17</v>
      </c>
      <c r="C75" s="95" t="s">
        <v>320</v>
      </c>
      <c r="D75" s="95" t="s">
        <v>319</v>
      </c>
    </row>
    <row r="76" spans="1:4" ht="29" x14ac:dyDescent="0.35">
      <c r="A76" s="91" t="s">
        <v>321</v>
      </c>
      <c r="B76" s="94">
        <v>849.66</v>
      </c>
      <c r="C76" s="95" t="s">
        <v>323</v>
      </c>
      <c r="D76" s="95" t="s">
        <v>322</v>
      </c>
    </row>
    <row r="77" spans="1:4" ht="29" x14ac:dyDescent="0.35">
      <c r="A77" s="83" t="s">
        <v>324</v>
      </c>
      <c r="B77" s="94">
        <v>3.99</v>
      </c>
      <c r="C77" s="95" t="s">
        <v>326</v>
      </c>
      <c r="D77" s="95" t="s">
        <v>325</v>
      </c>
    </row>
    <row r="78" spans="1:4" ht="29" x14ac:dyDescent="0.35">
      <c r="A78" s="83" t="s">
        <v>327</v>
      </c>
      <c r="B78" s="94">
        <v>19.98</v>
      </c>
      <c r="C78" s="95" t="s">
        <v>329</v>
      </c>
      <c r="D78" s="95" t="s">
        <v>328</v>
      </c>
    </row>
    <row r="79" spans="1:4" ht="29" x14ac:dyDescent="0.35">
      <c r="A79" s="83" t="s">
        <v>330</v>
      </c>
      <c r="B79" s="94">
        <v>4.97</v>
      </c>
      <c r="C79" s="95" t="s">
        <v>332</v>
      </c>
      <c r="D79" s="95" t="s">
        <v>331</v>
      </c>
    </row>
    <row r="80" spans="1:4" ht="72.5" x14ac:dyDescent="0.35">
      <c r="A80" s="91" t="s">
        <v>333</v>
      </c>
      <c r="B80" s="94">
        <v>7.99</v>
      </c>
      <c r="C80" s="83" t="s">
        <v>335</v>
      </c>
      <c r="D80" s="95" t="s">
        <v>334</v>
      </c>
    </row>
    <row r="81" spans="1:4" ht="29" x14ac:dyDescent="0.35">
      <c r="A81" s="83" t="s">
        <v>336</v>
      </c>
      <c r="B81" s="94">
        <v>139</v>
      </c>
      <c r="C81" s="95" t="s">
        <v>338</v>
      </c>
      <c r="D81" s="95" t="s">
        <v>337</v>
      </c>
    </row>
    <row r="82" spans="1:4" ht="29" x14ac:dyDescent="0.35">
      <c r="A82" s="83" t="s">
        <v>339</v>
      </c>
      <c r="B82" s="94">
        <v>19.98</v>
      </c>
      <c r="C82" s="95" t="s">
        <v>341</v>
      </c>
      <c r="D82" s="95" t="s">
        <v>340</v>
      </c>
    </row>
    <row r="83" spans="1:4" ht="29" x14ac:dyDescent="0.35">
      <c r="A83" s="83" t="s">
        <v>342</v>
      </c>
      <c r="B83" s="94">
        <v>3.58</v>
      </c>
      <c r="C83" s="95" t="s">
        <v>344</v>
      </c>
      <c r="D83" s="95" t="s">
        <v>343</v>
      </c>
    </row>
    <row r="84" spans="1:4" ht="29" x14ac:dyDescent="0.35">
      <c r="A84" s="83" t="s">
        <v>345</v>
      </c>
      <c r="B84" s="94">
        <v>379</v>
      </c>
      <c r="C84" s="95" t="s">
        <v>347</v>
      </c>
      <c r="D84" s="95" t="s">
        <v>346</v>
      </c>
    </row>
    <row r="85" spans="1:4" x14ac:dyDescent="0.35">
      <c r="A85" s="83" t="s">
        <v>348</v>
      </c>
      <c r="B85" s="94">
        <v>349</v>
      </c>
      <c r="C85" s="95" t="s">
        <v>350</v>
      </c>
      <c r="D85" s="95" t="s">
        <v>349</v>
      </c>
    </row>
    <row r="86" spans="1:4" ht="43.5" x14ac:dyDescent="0.35">
      <c r="A86" s="48" t="s">
        <v>162</v>
      </c>
      <c r="B86" s="71">
        <v>123</v>
      </c>
      <c r="C86" s="451" t="s">
        <v>161</v>
      </c>
      <c r="D86" s="95" t="s">
        <v>1076</v>
      </c>
    </row>
    <row r="87" spans="1:4" x14ac:dyDescent="0.35">
      <c r="A87" s="67" t="s">
        <v>364</v>
      </c>
      <c r="B87" s="71">
        <v>745</v>
      </c>
      <c r="C87" s="89" t="s">
        <v>164</v>
      </c>
      <c r="D87" s="95" t="s">
        <v>1078</v>
      </c>
    </row>
    <row r="88" spans="1:4" ht="29" x14ac:dyDescent="0.35">
      <c r="A88" s="83" t="s">
        <v>13</v>
      </c>
      <c r="B88" s="94">
        <v>107.95</v>
      </c>
      <c r="C88" s="83" t="s">
        <v>352</v>
      </c>
      <c r="D88" s="95" t="s">
        <v>351</v>
      </c>
    </row>
    <row r="89" spans="1:4" ht="29" x14ac:dyDescent="0.35">
      <c r="A89" s="83" t="s">
        <v>353</v>
      </c>
      <c r="B89" s="94">
        <v>8.48</v>
      </c>
      <c r="C89" s="95" t="s">
        <v>355</v>
      </c>
      <c r="D89" s="95" t="s">
        <v>354</v>
      </c>
    </row>
    <row r="90" spans="1:4" ht="29" x14ac:dyDescent="0.35">
      <c r="A90" s="91" t="s">
        <v>602</v>
      </c>
      <c r="B90" s="27">
        <v>76000</v>
      </c>
      <c r="C90" s="2" t="s">
        <v>604</v>
      </c>
      <c r="D90" s="76" t="s">
        <v>603</v>
      </c>
    </row>
    <row r="91" spans="1:4" ht="29" x14ac:dyDescent="0.35">
      <c r="A91" s="91" t="s">
        <v>606</v>
      </c>
      <c r="B91" s="27">
        <v>513</v>
      </c>
      <c r="C91" s="2" t="s">
        <v>608</v>
      </c>
      <c r="D91" s="76" t="s">
        <v>607</v>
      </c>
    </row>
    <row r="92" spans="1:4" ht="43.5" x14ac:dyDescent="0.35">
      <c r="A92" s="91" t="s">
        <v>611</v>
      </c>
      <c r="B92" s="216">
        <v>2.1800000000000002</v>
      </c>
      <c r="C92" s="62" t="s">
        <v>610</v>
      </c>
      <c r="D92" s="2" t="s">
        <v>609</v>
      </c>
    </row>
    <row r="93" spans="1:4" ht="29" x14ac:dyDescent="0.35">
      <c r="A93" s="91" t="s">
        <v>615</v>
      </c>
      <c r="B93" s="90">
        <v>6000</v>
      </c>
      <c r="C93" s="76" t="s">
        <v>613</v>
      </c>
      <c r="D93" s="2" t="s">
        <v>614</v>
      </c>
    </row>
  </sheetData>
  <hyperlinks>
    <hyperlink ref="C27" r:id="rId1" display="http://www.gemplers.com/product/42116/Dupont-Tychem-QC-Hooded-Coverall"/>
    <hyperlink ref="D15" r:id="rId2"/>
    <hyperlink ref="D23" r:id="rId3"/>
  </hyperlinks>
  <pageMargins left="0.7" right="0.7" top="0.75" bottom="0.75" header="0.3" footer="0.3"/>
  <pageSetup orientation="portrait" r:id="rId4"/>
  <legacy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topLeftCell="A34" zoomScale="90" zoomScaleNormal="90" workbookViewId="0">
      <selection activeCell="B54" sqref="B54"/>
    </sheetView>
  </sheetViews>
  <sheetFormatPr defaultRowHeight="14.5" x14ac:dyDescent="0.35"/>
  <cols>
    <col min="1" max="1" width="39.36328125" customWidth="1"/>
    <col min="2" max="2" width="43.36328125" customWidth="1"/>
    <col min="3" max="3" width="15.453125" style="26" customWidth="1"/>
    <col min="4" max="4" width="35.6328125" customWidth="1"/>
    <col min="5" max="5" width="17.90625" style="26" customWidth="1"/>
    <col min="6" max="6" width="46" customWidth="1"/>
    <col min="7" max="7" width="17.36328125" style="26" customWidth="1"/>
    <col min="8" max="8" width="25.90625" style="26" bestFit="1" customWidth="1"/>
    <col min="9" max="9" width="17.36328125" style="26" customWidth="1"/>
    <col min="10" max="10" width="36.54296875" customWidth="1"/>
    <col min="11" max="11" width="18.36328125" style="26" customWidth="1"/>
    <col min="12" max="12" width="24.36328125" customWidth="1"/>
  </cols>
  <sheetData>
    <row r="1" spans="1:12" ht="21.5" thickBot="1" x14ac:dyDescent="0.55000000000000004">
      <c r="A1" s="70" t="s">
        <v>933</v>
      </c>
    </row>
    <row r="3" spans="1:12" x14ac:dyDescent="0.35">
      <c r="A3" t="s">
        <v>934</v>
      </c>
    </row>
    <row r="5" spans="1:12" x14ac:dyDescent="0.35">
      <c r="A5" s="440" t="s">
        <v>937</v>
      </c>
      <c r="B5" s="440" t="s">
        <v>936</v>
      </c>
      <c r="C5" s="441" t="s">
        <v>1070</v>
      </c>
      <c r="D5" s="440" t="s">
        <v>473</v>
      </c>
      <c r="E5" s="441" t="s">
        <v>940</v>
      </c>
      <c r="F5" s="440" t="s">
        <v>1269</v>
      </c>
      <c r="G5" s="441" t="s">
        <v>940</v>
      </c>
      <c r="H5" s="441" t="s">
        <v>1281</v>
      </c>
      <c r="I5" s="441" t="s">
        <v>940</v>
      </c>
      <c r="J5" s="440" t="s">
        <v>949</v>
      </c>
      <c r="K5" s="441" t="s">
        <v>940</v>
      </c>
    </row>
    <row r="6" spans="1:12" x14ac:dyDescent="0.35">
      <c r="A6" s="442" t="s">
        <v>140</v>
      </c>
      <c r="B6" s="2" t="s">
        <v>938</v>
      </c>
      <c r="C6" s="50">
        <f>SUM(Vaccination!J23:J26)</f>
        <v>65</v>
      </c>
      <c r="D6" s="2" t="s">
        <v>941</v>
      </c>
      <c r="E6" s="27">
        <f>SUM(Vaccination!N23:N26)</f>
        <v>6786000</v>
      </c>
      <c r="F6" s="2" t="s">
        <v>944</v>
      </c>
      <c r="G6" s="27">
        <f>SUM(Vaccination!U23:U26)</f>
        <v>5044545.6253456706</v>
      </c>
      <c r="H6" s="27"/>
      <c r="I6" s="27"/>
      <c r="J6" s="2" t="s">
        <v>946</v>
      </c>
      <c r="K6" s="445">
        <f>E6+G6</f>
        <v>11830545.62534567</v>
      </c>
      <c r="L6" s="447"/>
    </row>
    <row r="7" spans="1:12" x14ac:dyDescent="0.35">
      <c r="B7" s="2" t="s">
        <v>939</v>
      </c>
      <c r="C7" s="11">
        <f>SUM(Vaccination!J28:J31)</f>
        <v>86.666666666666671</v>
      </c>
      <c r="D7" s="2" t="s">
        <v>942</v>
      </c>
      <c r="E7" s="27">
        <f>SUM(Vaccination!N28:N31)</f>
        <v>9048000</v>
      </c>
      <c r="F7" s="2" t="s">
        <v>945</v>
      </c>
      <c r="G7" s="27">
        <f>SUM(Vaccination!U28:U31)</f>
        <v>6726060.8337942278</v>
      </c>
      <c r="H7" s="27"/>
      <c r="I7" s="27"/>
      <c r="J7" s="2" t="s">
        <v>947</v>
      </c>
      <c r="K7" s="445">
        <f>E7+G7</f>
        <v>15774060.833794229</v>
      </c>
    </row>
    <row r="8" spans="1:12" x14ac:dyDescent="0.35">
      <c r="B8" s="2" t="s">
        <v>1071</v>
      </c>
      <c r="C8" s="50">
        <f>SUM(Vaccination!J33:J36)</f>
        <v>7.6166666666666663</v>
      </c>
      <c r="D8" s="2" t="s">
        <v>1072</v>
      </c>
      <c r="E8" s="27">
        <f>SUM(Vaccination!N33:N36)</f>
        <v>795180</v>
      </c>
      <c r="F8" s="2" t="s">
        <v>1073</v>
      </c>
      <c r="G8" s="27">
        <f>SUM(Vaccination!U33:U36)</f>
        <v>591117.2694315312</v>
      </c>
      <c r="H8" s="27"/>
      <c r="I8" s="27"/>
      <c r="J8" s="2" t="s">
        <v>1074</v>
      </c>
      <c r="K8" s="445">
        <f>E8+G8</f>
        <v>1386297.2694315312</v>
      </c>
    </row>
    <row r="9" spans="1:12" x14ac:dyDescent="0.35">
      <c r="B9" s="2" t="s">
        <v>961</v>
      </c>
      <c r="C9" s="50">
        <f>SUM(C6:C8)</f>
        <v>159.28333333333336</v>
      </c>
      <c r="D9" s="2" t="s">
        <v>943</v>
      </c>
      <c r="E9" s="27">
        <f>SUM(E6:E8)</f>
        <v>16629180</v>
      </c>
      <c r="F9" s="2" t="s">
        <v>1270</v>
      </c>
      <c r="G9" s="27">
        <f>SUM(G6:G8)</f>
        <v>12361723.72857143</v>
      </c>
      <c r="H9" s="27"/>
      <c r="I9" s="27"/>
      <c r="J9" s="2" t="s">
        <v>948</v>
      </c>
      <c r="K9" s="449">
        <f>SUM(K6:K8)</f>
        <v>28990903.72857143</v>
      </c>
      <c r="L9" s="442" t="s">
        <v>140</v>
      </c>
    </row>
    <row r="11" spans="1:12" x14ac:dyDescent="0.35">
      <c r="A11" s="442" t="s">
        <v>139</v>
      </c>
      <c r="B11" s="2" t="s">
        <v>950</v>
      </c>
      <c r="C11" s="50">
        <f>SUM(Depopulation!K24:K27)</f>
        <v>65</v>
      </c>
      <c r="D11" s="2" t="s">
        <v>941</v>
      </c>
      <c r="E11" s="27">
        <f>SUM(Depopulation!O24:O27)</f>
        <v>24117600</v>
      </c>
      <c r="F11" s="2" t="s">
        <v>944</v>
      </c>
      <c r="G11" s="27">
        <f>SUM(Depopulation!V24:V27)</f>
        <v>20421227.371428572</v>
      </c>
      <c r="H11" s="27"/>
      <c r="I11" s="27"/>
      <c r="J11" s="2" t="s">
        <v>946</v>
      </c>
      <c r="K11" s="445">
        <f>E11+G11</f>
        <v>44538827.371428572</v>
      </c>
      <c r="L11" s="447"/>
    </row>
    <row r="12" spans="1:12" x14ac:dyDescent="0.35">
      <c r="B12" s="2" t="s">
        <v>951</v>
      </c>
      <c r="C12" s="50">
        <f>SUM(Depopulation!K28:K31)</f>
        <v>86.666666666666671</v>
      </c>
      <c r="D12" s="2" t="s">
        <v>942</v>
      </c>
      <c r="E12" s="27">
        <f>SUM(Depopulation!O28:O31)</f>
        <v>32156800</v>
      </c>
      <c r="F12" s="2" t="s">
        <v>945</v>
      </c>
      <c r="G12" s="27">
        <f>SUM(Depopulation!V28:V31)</f>
        <v>27228303.16190476</v>
      </c>
      <c r="H12" s="27"/>
      <c r="I12" s="27"/>
      <c r="J12" s="2" t="s">
        <v>947</v>
      </c>
      <c r="K12" s="445">
        <f>E12+G12</f>
        <v>59385103.16190476</v>
      </c>
    </row>
    <row r="13" spans="1:12" x14ac:dyDescent="0.35">
      <c r="B13" s="2" t="s">
        <v>960</v>
      </c>
      <c r="C13" s="50">
        <f>SUM(C11:C12)</f>
        <v>151.66666666666669</v>
      </c>
      <c r="D13" s="2" t="s">
        <v>943</v>
      </c>
      <c r="E13" s="27">
        <f>SUM(E11:E12)</f>
        <v>56274400</v>
      </c>
      <c r="F13" s="2" t="s">
        <v>1270</v>
      </c>
      <c r="G13" s="27">
        <f>SUM(G11:G12)</f>
        <v>47649530.533333331</v>
      </c>
      <c r="H13" s="27"/>
      <c r="I13" s="27"/>
      <c r="J13" s="2" t="s">
        <v>952</v>
      </c>
      <c r="K13" s="449">
        <f>SUM(K11:K12)</f>
        <v>103923930.53333333</v>
      </c>
      <c r="L13" s="442" t="s">
        <v>139</v>
      </c>
    </row>
    <row r="15" spans="1:12" x14ac:dyDescent="0.35">
      <c r="A15" s="442" t="s">
        <v>138</v>
      </c>
      <c r="B15" s="2" t="s">
        <v>953</v>
      </c>
      <c r="C15" s="50">
        <f>SUM(Composting!K25:K28)</f>
        <v>120</v>
      </c>
      <c r="D15" s="2" t="s">
        <v>941</v>
      </c>
      <c r="E15" s="27">
        <f>SUM(Composting!O25:O28)</f>
        <v>7714656</v>
      </c>
      <c r="F15" s="2" t="s">
        <v>944</v>
      </c>
      <c r="G15" s="27">
        <f>SUM(Composting!V25:V28)</f>
        <v>39289015.714285709</v>
      </c>
      <c r="H15" s="27"/>
      <c r="I15" s="27"/>
      <c r="J15" s="2" t="s">
        <v>946</v>
      </c>
      <c r="K15" s="446">
        <f>E15+G15</f>
        <v>47003671.714285709</v>
      </c>
      <c r="L15" s="447"/>
    </row>
    <row r="16" spans="1:12" x14ac:dyDescent="0.35">
      <c r="B16" s="2" t="s">
        <v>954</v>
      </c>
      <c r="C16" s="50">
        <f>SUM(Composting!K29:K32)</f>
        <v>160</v>
      </c>
      <c r="D16" s="2" t="s">
        <v>942</v>
      </c>
      <c r="E16" s="27">
        <f>SUM(Composting!O29:O32)</f>
        <v>10286208</v>
      </c>
      <c r="F16" s="2" t="s">
        <v>945</v>
      </c>
      <c r="G16" s="27">
        <f>SUM(Composting!V29:V32)</f>
        <v>52385354.285714284</v>
      </c>
      <c r="H16" s="27"/>
      <c r="I16" s="27"/>
      <c r="J16" s="2" t="s">
        <v>947</v>
      </c>
      <c r="K16" s="445">
        <f>E16+G16</f>
        <v>62671562.285714284</v>
      </c>
    </row>
    <row r="17" spans="1:12" x14ac:dyDescent="0.35">
      <c r="B17" s="2" t="s">
        <v>959</v>
      </c>
      <c r="C17" s="50">
        <f>SUM(C15:C16)</f>
        <v>280</v>
      </c>
      <c r="D17" s="2" t="s">
        <v>943</v>
      </c>
      <c r="E17" s="27">
        <f>SUM(E15:E16)</f>
        <v>18000864</v>
      </c>
      <c r="F17" s="2" t="s">
        <v>1270</v>
      </c>
      <c r="G17" s="27">
        <f>SUM(G15:G16)</f>
        <v>91674370</v>
      </c>
      <c r="H17" s="27"/>
      <c r="I17" s="27"/>
      <c r="J17" s="2" t="s">
        <v>955</v>
      </c>
      <c r="K17" s="449">
        <f>SUM(K15:K16)</f>
        <v>109675234</v>
      </c>
      <c r="L17" s="442" t="s">
        <v>138</v>
      </c>
    </row>
    <row r="19" spans="1:12" x14ac:dyDescent="0.35">
      <c r="A19" s="442" t="s">
        <v>114</v>
      </c>
      <c r="B19" s="2" t="s">
        <v>956</v>
      </c>
      <c r="C19" s="50">
        <f>SUM(Rendering!O26:O29)</f>
        <v>3088.0142857142855</v>
      </c>
      <c r="D19" s="2" t="s">
        <v>941</v>
      </c>
      <c r="E19" s="27">
        <f>SUM(Rendering!S26:S29)</f>
        <v>3837600</v>
      </c>
      <c r="F19" s="2" t="s">
        <v>944</v>
      </c>
      <c r="G19" s="27">
        <f>SUM(Rendering!Z26:Z29)</f>
        <v>3789755</v>
      </c>
      <c r="H19" s="11" t="s">
        <v>1282</v>
      </c>
      <c r="I19" s="27">
        <f>Rendering!AE26</f>
        <v>24336000</v>
      </c>
      <c r="J19" s="2" t="s">
        <v>946</v>
      </c>
      <c r="K19" s="445">
        <f>E19+G19+I19</f>
        <v>31963355</v>
      </c>
      <c r="L19" s="447"/>
    </row>
    <row r="20" spans="1:12" x14ac:dyDescent="0.35">
      <c r="B20" s="2" t="s">
        <v>957</v>
      </c>
      <c r="C20" s="50">
        <f>SUM(Rendering!O31:O34)</f>
        <v>4117.3523809523804</v>
      </c>
      <c r="D20" s="2" t="s">
        <v>942</v>
      </c>
      <c r="E20" s="27">
        <f>SUM(Rendering!S31:S34)</f>
        <v>5116800</v>
      </c>
      <c r="F20" s="2" t="s">
        <v>945</v>
      </c>
      <c r="G20" s="27">
        <f>SUM(Rendering!Z31:Z34)</f>
        <v>4052830</v>
      </c>
      <c r="H20" s="27" t="s">
        <v>1283</v>
      </c>
      <c r="I20" s="27">
        <f>Rendering!AE31</f>
        <v>32448000</v>
      </c>
      <c r="J20" s="2" t="s">
        <v>947</v>
      </c>
      <c r="K20" s="445">
        <f>E20+G20+I20</f>
        <v>41617630</v>
      </c>
    </row>
    <row r="21" spans="1:12" x14ac:dyDescent="0.35">
      <c r="B21" s="2" t="s">
        <v>958</v>
      </c>
      <c r="C21" s="50">
        <f>C19+C20</f>
        <v>7205.3666666666659</v>
      </c>
      <c r="D21" s="2" t="s">
        <v>943</v>
      </c>
      <c r="E21" s="27">
        <f>E19+E20</f>
        <v>8954400</v>
      </c>
      <c r="F21" s="2" t="s">
        <v>1270</v>
      </c>
      <c r="G21" s="27">
        <f>G19+G20</f>
        <v>7842585</v>
      </c>
      <c r="H21" s="27" t="s">
        <v>1284</v>
      </c>
      <c r="I21" s="27">
        <f>SUM(I19:I20)</f>
        <v>56784000</v>
      </c>
      <c r="J21" s="2" t="s">
        <v>962</v>
      </c>
      <c r="K21" s="449">
        <f>SUM(K19:K20)</f>
        <v>73580985</v>
      </c>
      <c r="L21" s="442" t="s">
        <v>114</v>
      </c>
    </row>
    <row r="23" spans="1:12" x14ac:dyDescent="0.35">
      <c r="A23" s="442" t="s">
        <v>930</v>
      </c>
      <c r="B23" s="2" t="s">
        <v>963</v>
      </c>
      <c r="C23" s="50">
        <f>SUM('Off-site Incineration'!O25:O28)</f>
        <v>6208.0142857142855</v>
      </c>
      <c r="D23" s="2" t="s">
        <v>941</v>
      </c>
      <c r="E23" s="27">
        <f>SUM('Off-site Incineration'!S25:S28)</f>
        <v>7035600</v>
      </c>
      <c r="F23" s="2" t="s">
        <v>944</v>
      </c>
      <c r="G23" s="27">
        <f>SUM('Off-site Incineration'!Z25:Z28)</f>
        <v>4056255</v>
      </c>
      <c r="H23" s="11" t="s">
        <v>1282</v>
      </c>
      <c r="I23" s="27">
        <f>'Off-site Incineration'!AE25</f>
        <v>24336000</v>
      </c>
      <c r="J23" s="2" t="s">
        <v>946</v>
      </c>
      <c r="K23" s="445">
        <f>E23+G23+I23</f>
        <v>35427855</v>
      </c>
      <c r="L23" s="447"/>
    </row>
    <row r="24" spans="1:12" x14ac:dyDescent="0.35">
      <c r="B24" s="2" t="s">
        <v>964</v>
      </c>
      <c r="C24" s="50">
        <f>SUM('Off-site Incineration'!O30:O33)</f>
        <v>8277.3523809523795</v>
      </c>
      <c r="D24" s="2" t="s">
        <v>942</v>
      </c>
      <c r="E24" s="27">
        <f>SUM('Off-site Incineration'!S30:S33)</f>
        <v>9380800</v>
      </c>
      <c r="F24" s="2" t="s">
        <v>945</v>
      </c>
      <c r="G24" s="27">
        <f>SUM('Off-site Incineration'!Z30:Z33)</f>
        <v>4408163.333333333</v>
      </c>
      <c r="H24" s="27" t="s">
        <v>1283</v>
      </c>
      <c r="I24" s="27">
        <f>'Off-site Incineration'!AE30</f>
        <v>32448000</v>
      </c>
      <c r="J24" s="2" t="s">
        <v>947</v>
      </c>
      <c r="K24" s="445">
        <f>E24+G24+I24</f>
        <v>46236963.333333328</v>
      </c>
    </row>
    <row r="25" spans="1:12" x14ac:dyDescent="0.35">
      <c r="B25" s="2" t="s">
        <v>965</v>
      </c>
      <c r="C25" s="50">
        <f>C23+C24</f>
        <v>14485.366666666665</v>
      </c>
      <c r="D25" s="2" t="s">
        <v>943</v>
      </c>
      <c r="E25" s="27">
        <f>E23+E24</f>
        <v>16416400</v>
      </c>
      <c r="F25" s="2" t="s">
        <v>1270</v>
      </c>
      <c r="G25" s="27">
        <f>G23+G24</f>
        <v>8464418.3333333321</v>
      </c>
      <c r="H25" s="27" t="s">
        <v>1284</v>
      </c>
      <c r="I25" s="27">
        <f>SUM(I23:I24)</f>
        <v>56784000</v>
      </c>
      <c r="J25" s="2" t="s">
        <v>966</v>
      </c>
      <c r="K25" s="449">
        <f>SUM(K23:K24)</f>
        <v>81664818.333333328</v>
      </c>
      <c r="L25" s="442" t="s">
        <v>930</v>
      </c>
    </row>
    <row r="27" spans="1:12" x14ac:dyDescent="0.35">
      <c r="A27" s="442" t="s">
        <v>929</v>
      </c>
      <c r="B27" s="2" t="s">
        <v>963</v>
      </c>
      <c r="C27" s="50">
        <f>IF('On-site Incineration'!L39&gt;'On-site Incineration'!K39,'On-site Incineration'!L39,'On-site Incineration'!K39)</f>
        <v>1950</v>
      </c>
      <c r="D27" s="2" t="s">
        <v>941</v>
      </c>
      <c r="E27" s="27">
        <f>SUM('On-site Incineration'!P22:P25)</f>
        <v>13191750</v>
      </c>
      <c r="F27" s="2" t="s">
        <v>944</v>
      </c>
      <c r="G27" s="27">
        <f>SUM('On-site Incineration'!X22:X25)</f>
        <v>39410555.357142858</v>
      </c>
      <c r="H27" s="27"/>
      <c r="I27" s="27"/>
      <c r="J27" s="2" t="s">
        <v>946</v>
      </c>
      <c r="K27" s="445">
        <f>SUM('On-site Incineration'!AC22:AC25)</f>
        <v>52602305.357142858</v>
      </c>
      <c r="L27" s="447"/>
    </row>
    <row r="28" spans="1:12" x14ac:dyDescent="0.35">
      <c r="B28" s="2" t="s">
        <v>964</v>
      </c>
      <c r="C28" s="50">
        <f>IF('On-site Incineration'!L40&gt;'On-site Incineration'!K40,'On-site Incineration'!L40,'On-site Incineration'!K40)</f>
        <v>2600</v>
      </c>
      <c r="D28" s="2" t="s">
        <v>942</v>
      </c>
      <c r="E28" s="27">
        <f>SUM('On-site Incineration'!P27:P30)</f>
        <v>17589000</v>
      </c>
      <c r="F28" s="2" t="s">
        <v>945</v>
      </c>
      <c r="G28" s="27">
        <f>SUM('On-site Incineration'!X27:X30)</f>
        <v>52547407.142857142</v>
      </c>
      <c r="H28" s="27"/>
      <c r="I28" s="27"/>
      <c r="J28" s="2" t="s">
        <v>947</v>
      </c>
      <c r="K28" s="445">
        <f>SUM('On-site Incineration'!AC27:AC30)</f>
        <v>70136407.142857134</v>
      </c>
    </row>
    <row r="29" spans="1:12" x14ac:dyDescent="0.35">
      <c r="B29" s="2" t="s">
        <v>965</v>
      </c>
      <c r="C29" s="50">
        <f>C27+C28</f>
        <v>4550</v>
      </c>
      <c r="D29" s="2" t="s">
        <v>943</v>
      </c>
      <c r="E29" s="27">
        <f>E27+E28</f>
        <v>30780750</v>
      </c>
      <c r="F29" s="2" t="s">
        <v>1270</v>
      </c>
      <c r="G29" s="27">
        <f>G27+G28</f>
        <v>91957962.5</v>
      </c>
      <c r="H29" s="27"/>
      <c r="I29" s="27"/>
      <c r="J29" s="2" t="s">
        <v>967</v>
      </c>
      <c r="K29" s="449">
        <f>SUM(K27:K28)</f>
        <v>122738712.5</v>
      </c>
      <c r="L29" s="442" t="s">
        <v>929</v>
      </c>
    </row>
    <row r="31" spans="1:12" x14ac:dyDescent="0.35">
      <c r="A31" s="442" t="s">
        <v>968</v>
      </c>
      <c r="B31" s="2" t="s">
        <v>969</v>
      </c>
      <c r="C31" s="50">
        <f>SUM('Off-site Landfill Burial'!O24-W26)</f>
        <v>7767.5</v>
      </c>
      <c r="D31" s="2" t="s">
        <v>941</v>
      </c>
      <c r="E31" s="27">
        <f>SUM('Off-site Landfill Burial'!S24-AA26)</f>
        <v>7035600</v>
      </c>
      <c r="F31" s="2" t="s">
        <v>944</v>
      </c>
      <c r="G31" s="27">
        <f>SUM('Off-site Landfill Burial'!Z24-AH26)</f>
        <v>21211696.428571429</v>
      </c>
      <c r="H31" s="11" t="s">
        <v>1282</v>
      </c>
      <c r="I31" s="27">
        <f>'Off-site Landfill Burial'!AE24</f>
        <v>10530000</v>
      </c>
      <c r="J31" s="2" t="s">
        <v>946</v>
      </c>
      <c r="K31" s="446">
        <f>E31+G31+I31</f>
        <v>38777296.428571433</v>
      </c>
      <c r="L31" s="447"/>
    </row>
    <row r="32" spans="1:12" x14ac:dyDescent="0.35">
      <c r="B32" s="2" t="s">
        <v>970</v>
      </c>
      <c r="C32" s="50">
        <f>SUM('Off-site Landfill Burial'!O29-W31)</f>
        <v>10356.666666666668</v>
      </c>
      <c r="D32" s="2" t="s">
        <v>942</v>
      </c>
      <c r="E32" s="27">
        <f>SUM('Off-site Landfill Burial'!S29-AA31)</f>
        <v>9380800</v>
      </c>
      <c r="F32" s="2" t="s">
        <v>945</v>
      </c>
      <c r="G32" s="27">
        <f>SUM('Off-site Landfill Burial'!Z29-AH31)</f>
        <v>28282085.238095239</v>
      </c>
      <c r="H32" s="27" t="s">
        <v>1283</v>
      </c>
      <c r="I32" s="27">
        <f>'Off-site Landfill Burial'!AE29</f>
        <v>14040000</v>
      </c>
      <c r="J32" s="2" t="s">
        <v>947</v>
      </c>
      <c r="K32" s="445">
        <f>E32+G32+I32</f>
        <v>51702885.238095239</v>
      </c>
    </row>
    <row r="33" spans="1:12" x14ac:dyDescent="0.35">
      <c r="B33" s="2" t="s">
        <v>971</v>
      </c>
      <c r="C33" s="50">
        <f>C31+C32</f>
        <v>18124.166666666668</v>
      </c>
      <c r="D33" s="2" t="s">
        <v>943</v>
      </c>
      <c r="E33" s="27">
        <f>E31+E32</f>
        <v>16416400</v>
      </c>
      <c r="F33" s="2" t="s">
        <v>1270</v>
      </c>
      <c r="G33" s="27">
        <f>G31+G32</f>
        <v>49493781.666666672</v>
      </c>
      <c r="H33" s="27" t="s">
        <v>1284</v>
      </c>
      <c r="I33" s="27">
        <f>SUM(I31:I32)</f>
        <v>24570000</v>
      </c>
      <c r="J33" s="2" t="s">
        <v>972</v>
      </c>
      <c r="K33" s="449">
        <f>SUM(K31:K32)</f>
        <v>90480181.666666672</v>
      </c>
      <c r="L33" s="442" t="s">
        <v>968</v>
      </c>
    </row>
    <row r="35" spans="1:12" x14ac:dyDescent="0.35">
      <c r="A35" s="442" t="s">
        <v>931</v>
      </c>
      <c r="B35" s="2" t="s">
        <v>969</v>
      </c>
      <c r="C35" s="50">
        <f>SUM('On-site Burial'!K23:K26)</f>
        <v>263.51351351351349</v>
      </c>
      <c r="D35" s="2" t="s">
        <v>941</v>
      </c>
      <c r="E35" s="27">
        <f>SUM('On-site Burial'!O23:O26)</f>
        <v>4593198.6486486476</v>
      </c>
      <c r="F35" s="2" t="s">
        <v>944</v>
      </c>
      <c r="G35" s="445">
        <f>SUM('On-site Burial'!U23:U26)</f>
        <v>8610905.0096525084</v>
      </c>
      <c r="H35" s="445"/>
      <c r="I35" s="445"/>
      <c r="J35" s="2" t="s">
        <v>946</v>
      </c>
      <c r="K35" s="445">
        <f>E35+G35</f>
        <v>13204103.658301156</v>
      </c>
      <c r="L35" s="447"/>
    </row>
    <row r="36" spans="1:12" x14ac:dyDescent="0.35">
      <c r="B36" s="2" t="s">
        <v>970</v>
      </c>
      <c r="C36" s="50">
        <f>SUM('On-site Burial'!K28:K31)</f>
        <v>351.35135135135135</v>
      </c>
      <c r="D36" s="2" t="s">
        <v>942</v>
      </c>
      <c r="E36" s="27">
        <f>SUM('On-site Burial'!O28:O31)</f>
        <v>6124264.8648648653</v>
      </c>
      <c r="F36" s="2" t="s">
        <v>945</v>
      </c>
      <c r="G36" s="445">
        <f>SUM('On-site Burial'!U28:U31)</f>
        <v>11481206.67953668</v>
      </c>
      <c r="H36" s="445"/>
      <c r="I36" s="445"/>
      <c r="J36" s="2" t="s">
        <v>947</v>
      </c>
      <c r="K36" s="445">
        <f>E36+G36</f>
        <v>17605471.544401545</v>
      </c>
    </row>
    <row r="37" spans="1:12" x14ac:dyDescent="0.35">
      <c r="B37" s="2" t="s">
        <v>971</v>
      </c>
      <c r="C37" s="50">
        <f>C35+C36</f>
        <v>614.86486486486478</v>
      </c>
      <c r="D37" s="2" t="s">
        <v>943</v>
      </c>
      <c r="E37" s="27">
        <f>E35+E36</f>
        <v>10717463.513513513</v>
      </c>
      <c r="F37" s="2" t="s">
        <v>1270</v>
      </c>
      <c r="G37" s="27">
        <f>G35+G36</f>
        <v>20092111.689189188</v>
      </c>
      <c r="H37" s="27"/>
      <c r="I37" s="27"/>
      <c r="J37" s="2" t="s">
        <v>977</v>
      </c>
      <c r="K37" s="512">
        <f>E37+G37</f>
        <v>30809575.202702701</v>
      </c>
      <c r="L37" s="442" t="s">
        <v>931</v>
      </c>
    </row>
    <row r="39" spans="1:12" x14ac:dyDescent="0.35">
      <c r="A39" s="442" t="s">
        <v>144</v>
      </c>
      <c r="B39" s="2" t="s">
        <v>973</v>
      </c>
      <c r="C39" s="11"/>
      <c r="D39" s="2" t="s">
        <v>941</v>
      </c>
      <c r="E39" s="27"/>
      <c r="F39" s="2" t="s">
        <v>944</v>
      </c>
      <c r="G39" s="11"/>
      <c r="H39" s="11"/>
      <c r="I39" s="11"/>
      <c r="J39" s="2" t="s">
        <v>946</v>
      </c>
      <c r="K39" s="11"/>
      <c r="L39" s="447"/>
    </row>
    <row r="40" spans="1:12" x14ac:dyDescent="0.35">
      <c r="B40" s="2" t="s">
        <v>974</v>
      </c>
      <c r="C40" s="11"/>
      <c r="D40" s="2" t="s">
        <v>942</v>
      </c>
      <c r="E40" s="27"/>
      <c r="F40" s="2" t="s">
        <v>945</v>
      </c>
      <c r="G40" s="11"/>
      <c r="H40" s="11"/>
      <c r="I40" s="11"/>
      <c r="J40" s="2" t="s">
        <v>947</v>
      </c>
      <c r="K40" s="11"/>
    </row>
    <row r="41" spans="1:12" x14ac:dyDescent="0.35">
      <c r="B41" s="2" t="s">
        <v>975</v>
      </c>
      <c r="C41" s="11"/>
      <c r="D41" s="2" t="s">
        <v>943</v>
      </c>
      <c r="E41" s="27"/>
      <c r="F41" s="2" t="s">
        <v>1270</v>
      </c>
      <c r="G41" s="11"/>
      <c r="H41" s="11"/>
      <c r="I41" s="11"/>
      <c r="J41" s="2" t="s">
        <v>976</v>
      </c>
      <c r="K41" s="11"/>
      <c r="L41" s="442" t="s">
        <v>144</v>
      </c>
    </row>
    <row r="43" spans="1:12" x14ac:dyDescent="0.35">
      <c r="A43" s="442" t="s">
        <v>131</v>
      </c>
      <c r="B43" s="2" t="s">
        <v>978</v>
      </c>
      <c r="C43" s="50">
        <f>('Facility Decon'!K25+'Facility Decon'!K26)</f>
        <v>16</v>
      </c>
      <c r="D43" s="2" t="s">
        <v>941</v>
      </c>
      <c r="E43" s="27">
        <f>'Facility Decon'!O25+'Facility Decon'!O26</f>
        <v>136579.20000000001</v>
      </c>
      <c r="F43" s="2" t="s">
        <v>944</v>
      </c>
      <c r="G43" s="445">
        <f>'Facility Decon'!U25+'Facility Decon'!U26</f>
        <v>425042.85714285716</v>
      </c>
      <c r="H43" s="445"/>
      <c r="I43" s="445"/>
      <c r="J43" s="2" t="s">
        <v>946</v>
      </c>
      <c r="K43" s="445">
        <f>G43+E43</f>
        <v>561622.05714285723</v>
      </c>
      <c r="L43" s="447"/>
    </row>
    <row r="44" spans="1:12" x14ac:dyDescent="0.35">
      <c r="B44" s="2" t="s">
        <v>979</v>
      </c>
      <c r="C44" s="50">
        <f>('Facility Decon'!K28+'Facility Decon'!K29)</f>
        <v>22.25</v>
      </c>
      <c r="D44" s="2" t="s">
        <v>942</v>
      </c>
      <c r="E44" s="27">
        <f>'Facility Decon'!O28+'Facility Decon'!O29</f>
        <v>189930.45</v>
      </c>
      <c r="F44" s="2" t="s">
        <v>945</v>
      </c>
      <c r="G44" s="445">
        <f>'Facility Decon'!U28+'Facility Decon'!U29</f>
        <v>588780.53571428568</v>
      </c>
      <c r="H44" s="445"/>
      <c r="I44" s="445"/>
      <c r="J44" s="2" t="s">
        <v>947</v>
      </c>
      <c r="K44" s="445">
        <f>G44+E44</f>
        <v>778710.98571428563</v>
      </c>
    </row>
    <row r="45" spans="1:12" x14ac:dyDescent="0.35">
      <c r="B45" s="2" t="s">
        <v>980</v>
      </c>
      <c r="C45" s="50">
        <f>C43+C44</f>
        <v>38.25</v>
      </c>
      <c r="D45" s="2" t="s">
        <v>943</v>
      </c>
      <c r="E45" s="27">
        <f>E43+E44</f>
        <v>326509.65000000002</v>
      </c>
      <c r="F45" s="2" t="s">
        <v>1270</v>
      </c>
      <c r="G45" s="445">
        <f>G43+G44</f>
        <v>1013823.3928571428</v>
      </c>
      <c r="H45" s="445"/>
      <c r="I45" s="445"/>
      <c r="J45" s="2" t="s">
        <v>981</v>
      </c>
      <c r="K45" s="512">
        <f>K43+K44</f>
        <v>1340333.0428571429</v>
      </c>
      <c r="L45" s="442" t="s">
        <v>131</v>
      </c>
    </row>
    <row r="47" spans="1:12" x14ac:dyDescent="0.35">
      <c r="A47" s="442" t="s">
        <v>640</v>
      </c>
      <c r="B47" s="2" t="s">
        <v>982</v>
      </c>
      <c r="C47" s="50">
        <f>Sampling!K26</f>
        <v>26.194444444444443</v>
      </c>
      <c r="D47" s="2" t="s">
        <v>941</v>
      </c>
      <c r="E47" s="27">
        <f>Sampling!O26</f>
        <v>256967.5</v>
      </c>
      <c r="F47" s="2" t="s">
        <v>944</v>
      </c>
      <c r="G47" s="445">
        <f>Sampling!U26</f>
        <v>1159491.2043650795</v>
      </c>
      <c r="H47" s="445"/>
      <c r="I47" s="445"/>
      <c r="J47" s="2" t="s">
        <v>946</v>
      </c>
      <c r="K47" s="445">
        <f>Sampling!Z26</f>
        <v>1416458.7043650795</v>
      </c>
      <c r="L47" s="447"/>
    </row>
    <row r="48" spans="1:12" x14ac:dyDescent="0.35">
      <c r="B48" s="2" t="s">
        <v>983</v>
      </c>
      <c r="C48" s="50">
        <f>Sampling!K27</f>
        <v>37.013888888888886</v>
      </c>
      <c r="D48" s="2" t="s">
        <v>942</v>
      </c>
      <c r="E48" s="27">
        <f>Sampling!O27</f>
        <v>363106.25</v>
      </c>
      <c r="F48" s="2" t="s">
        <v>945</v>
      </c>
      <c r="G48" s="445">
        <f>Sampling!U27</f>
        <v>1636759.3105158729</v>
      </c>
      <c r="H48" s="445"/>
      <c r="I48" s="445"/>
      <c r="J48" s="2" t="s">
        <v>947</v>
      </c>
      <c r="K48" s="445">
        <f>Sampling!Z27</f>
        <v>1999865.5605158729</v>
      </c>
    </row>
    <row r="49" spans="1:12" x14ac:dyDescent="0.35">
      <c r="B49" s="2" t="s">
        <v>984</v>
      </c>
      <c r="C49" s="50">
        <f>C47+C48</f>
        <v>63.208333333333329</v>
      </c>
      <c r="D49" s="2" t="s">
        <v>943</v>
      </c>
      <c r="E49" s="27">
        <f>E47+E48</f>
        <v>620073.75</v>
      </c>
      <c r="F49" s="2" t="s">
        <v>1270</v>
      </c>
      <c r="G49" s="27">
        <f>G47+G48</f>
        <v>2796250.5148809524</v>
      </c>
      <c r="H49" s="27"/>
      <c r="I49" s="27"/>
      <c r="J49" s="2" t="s">
        <v>985</v>
      </c>
      <c r="K49" s="449">
        <f>K47+K48</f>
        <v>3416324.2648809524</v>
      </c>
      <c r="L49" s="448" t="s">
        <v>640</v>
      </c>
    </row>
    <row r="55" spans="1:12" x14ac:dyDescent="0.35">
      <c r="A55" s="16" t="s">
        <v>1233</v>
      </c>
    </row>
    <row r="56" spans="1:12" x14ac:dyDescent="0.35">
      <c r="C56" s="44" t="s">
        <v>1234</v>
      </c>
      <c r="D56" s="44" t="s">
        <v>1235</v>
      </c>
    </row>
    <row r="57" spans="1:12" x14ac:dyDescent="0.35">
      <c r="A57" s="140" t="s">
        <v>410</v>
      </c>
      <c r="B57" s="2" t="s">
        <v>67</v>
      </c>
      <c r="C57" s="552">
        <f>GIS_inputs!C50</f>
        <v>390000</v>
      </c>
      <c r="D57" s="11">
        <f>(C57*Depopulation!$B$76)/2000</f>
        <v>234000</v>
      </c>
    </row>
    <row r="58" spans="1:12" x14ac:dyDescent="0.35">
      <c r="A58" s="124"/>
      <c r="B58" s="2" t="s">
        <v>69</v>
      </c>
      <c r="C58" s="552">
        <f>GIS_inputs!C51</f>
        <v>0</v>
      </c>
      <c r="D58" s="11">
        <f>(C58*Depopulation!$B$77)/2000</f>
        <v>0</v>
      </c>
    </row>
    <row r="59" spans="1:12" x14ac:dyDescent="0.35">
      <c r="A59" s="124"/>
      <c r="B59" s="2" t="s">
        <v>68</v>
      </c>
      <c r="C59" s="552">
        <f>GIS_inputs!C52</f>
        <v>0</v>
      </c>
      <c r="D59" s="11">
        <f>(C59*Depopulation!$B$78)/2000</f>
        <v>0</v>
      </c>
    </row>
    <row r="60" spans="1:12" x14ac:dyDescent="0.35">
      <c r="A60" s="124"/>
      <c r="B60" s="2" t="s">
        <v>70</v>
      </c>
      <c r="C60" s="552">
        <f>GIS_inputs!C53</f>
        <v>0</v>
      </c>
      <c r="D60" s="11">
        <f>(C60*Depopulation!$B$79)/2000</f>
        <v>0</v>
      </c>
    </row>
    <row r="61" spans="1:12" x14ac:dyDescent="0.35">
      <c r="A61" s="124"/>
      <c r="B61" s="2" t="s">
        <v>1236</v>
      </c>
      <c r="C61" s="552">
        <f>SUM(C57:C60)</f>
        <v>390000</v>
      </c>
      <c r="D61" s="552">
        <f>SUM(D57:D60)</f>
        <v>234000</v>
      </c>
    </row>
    <row r="62" spans="1:12" x14ac:dyDescent="0.35">
      <c r="C62" s="552"/>
      <c r="D62" s="26"/>
    </row>
    <row r="63" spans="1:12" x14ac:dyDescent="0.35">
      <c r="A63" s="140" t="s">
        <v>409</v>
      </c>
      <c r="B63" s="2" t="s">
        <v>67</v>
      </c>
      <c r="C63" s="552">
        <f>GIS_inputs!C121</f>
        <v>520000</v>
      </c>
      <c r="D63" s="11">
        <f>(C63*Depopulation!$B$76)/2000</f>
        <v>312000</v>
      </c>
    </row>
    <row r="64" spans="1:12" x14ac:dyDescent="0.35">
      <c r="A64" s="124"/>
      <c r="B64" s="2" t="s">
        <v>69</v>
      </c>
      <c r="C64" s="552">
        <f>GIS_inputs!C122</f>
        <v>0</v>
      </c>
      <c r="D64" s="11">
        <f>(C64*Depopulation!$B$77)/2000</f>
        <v>0</v>
      </c>
    </row>
    <row r="65" spans="1:4" x14ac:dyDescent="0.35">
      <c r="A65" s="124"/>
      <c r="B65" s="2" t="s">
        <v>68</v>
      </c>
      <c r="C65" s="552">
        <f>GIS_inputs!C123</f>
        <v>0</v>
      </c>
      <c r="D65" s="11">
        <f>(C65*Depopulation!$B$78)/2000</f>
        <v>0</v>
      </c>
    </row>
    <row r="66" spans="1:4" x14ac:dyDescent="0.35">
      <c r="A66" s="124"/>
      <c r="B66" s="2" t="s">
        <v>70</v>
      </c>
      <c r="C66" s="552">
        <f>GIS_inputs!C124</f>
        <v>0</v>
      </c>
      <c r="D66" s="11">
        <f>(C66*Depopulation!$B$79)/2000</f>
        <v>0</v>
      </c>
    </row>
    <row r="67" spans="1:4" x14ac:dyDescent="0.35">
      <c r="A67" s="124"/>
      <c r="B67" s="2" t="s">
        <v>1236</v>
      </c>
      <c r="C67" s="552">
        <f>GIS_inputs!C125</f>
        <v>520000</v>
      </c>
      <c r="D67" s="552">
        <f>SUM(D63:D66)</f>
        <v>312000</v>
      </c>
    </row>
    <row r="69" spans="1:4" x14ac:dyDescent="0.35">
      <c r="A69" s="140" t="s">
        <v>466</v>
      </c>
      <c r="B69" s="2" t="s">
        <v>67</v>
      </c>
      <c r="C69" s="31">
        <f>GIS_inputs!C163</f>
        <v>35000</v>
      </c>
      <c r="D69" s="11">
        <f>(C69*Depopulation!$B$76)/2000</f>
        <v>21000</v>
      </c>
    </row>
    <row r="70" spans="1:4" x14ac:dyDescent="0.35">
      <c r="A70" s="124"/>
      <c r="B70" s="2" t="s">
        <v>69</v>
      </c>
      <c r="C70" s="552">
        <f>GIS_inputs!C164</f>
        <v>3500</v>
      </c>
      <c r="D70" s="11">
        <f>(C70*Depopulation!$B$77)/2000</f>
        <v>525</v>
      </c>
    </row>
    <row r="71" spans="1:4" x14ac:dyDescent="0.35">
      <c r="A71" s="124"/>
      <c r="B71" s="2" t="s">
        <v>68</v>
      </c>
      <c r="C71" s="552">
        <f>GIS_inputs!C165</f>
        <v>7000</v>
      </c>
      <c r="D71" s="11">
        <f>(C71*Depopulation!$B$78)/2000</f>
        <v>350</v>
      </c>
    </row>
    <row r="72" spans="1:4" x14ac:dyDescent="0.35">
      <c r="A72" s="124"/>
      <c r="B72" s="2" t="s">
        <v>70</v>
      </c>
      <c r="C72" s="552">
        <f>GIS_inputs!C166</f>
        <v>200</v>
      </c>
      <c r="D72" s="11">
        <f>(C72*Depopulation!$B$79)/2000</f>
        <v>8</v>
      </c>
    </row>
    <row r="73" spans="1:4" x14ac:dyDescent="0.35">
      <c r="A73" s="124"/>
      <c r="B73" s="2" t="s">
        <v>1236</v>
      </c>
      <c r="C73" s="552">
        <f>GIS_inputs!C167</f>
        <v>45700</v>
      </c>
      <c r="D73" s="552">
        <f>SUM(D69:D72)</f>
        <v>21883</v>
      </c>
    </row>
    <row r="75" spans="1:4" x14ac:dyDescent="0.35">
      <c r="A75" s="140" t="s">
        <v>1237</v>
      </c>
      <c r="B75" s="2" t="s">
        <v>67</v>
      </c>
      <c r="C75" s="31">
        <f>C57+C63+C69</f>
        <v>945000</v>
      </c>
      <c r="D75" s="31">
        <f>D57+D63+D69</f>
        <v>567000</v>
      </c>
    </row>
    <row r="76" spans="1:4" x14ac:dyDescent="0.35">
      <c r="A76" s="124"/>
      <c r="B76" s="2" t="s">
        <v>69</v>
      </c>
      <c r="C76" s="31">
        <f t="shared" ref="C76:D79" si="0">C58+C64+C70</f>
        <v>3500</v>
      </c>
      <c r="D76" s="31">
        <f t="shared" si="0"/>
        <v>525</v>
      </c>
    </row>
    <row r="77" spans="1:4" x14ac:dyDescent="0.35">
      <c r="A77" s="124"/>
      <c r="B77" s="2" t="s">
        <v>68</v>
      </c>
      <c r="C77" s="31">
        <f t="shared" si="0"/>
        <v>7000</v>
      </c>
      <c r="D77" s="31">
        <f t="shared" si="0"/>
        <v>350</v>
      </c>
    </row>
    <row r="78" spans="1:4" x14ac:dyDescent="0.35">
      <c r="A78" s="124"/>
      <c r="B78" s="2" t="s">
        <v>70</v>
      </c>
      <c r="C78" s="31">
        <f t="shared" si="0"/>
        <v>200</v>
      </c>
      <c r="D78" s="31">
        <f t="shared" si="0"/>
        <v>8</v>
      </c>
    </row>
    <row r="79" spans="1:4" x14ac:dyDescent="0.35">
      <c r="A79" s="124"/>
      <c r="B79" s="2" t="s">
        <v>1238</v>
      </c>
      <c r="C79" s="31">
        <f t="shared" si="0"/>
        <v>955700</v>
      </c>
      <c r="D79" s="31">
        <f t="shared" si="0"/>
        <v>567883</v>
      </c>
    </row>
  </sheetData>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57" sqref="Q57"/>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2" sqref="A2"/>
    </sheetView>
  </sheetViews>
  <sheetFormatPr defaultRowHeight="14.5" x14ac:dyDescent="0.35"/>
  <cols>
    <col min="1" max="1" width="89" customWidth="1"/>
  </cols>
  <sheetData>
    <row r="1" spans="1:1" ht="21.5" thickBot="1" x14ac:dyDescent="0.55000000000000004">
      <c r="A1" s="70" t="s">
        <v>1274</v>
      </c>
    </row>
    <row r="3" spans="1:1" x14ac:dyDescent="0.35">
      <c r="A3" t="s">
        <v>1275</v>
      </c>
    </row>
    <row r="4" spans="1:1" ht="15" thickBot="1" x14ac:dyDescent="0.4"/>
    <row r="5" spans="1:1" ht="324" customHeight="1" thickBot="1" x14ac:dyDescent="0.4">
      <c r="A5" s="582" t="s">
        <v>1276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07"/>
  <sheetViews>
    <sheetView workbookViewId="0"/>
  </sheetViews>
  <sheetFormatPr defaultRowHeight="14.5" x14ac:dyDescent="0.35"/>
  <cols>
    <col min="1" max="1" width="61.08984375" customWidth="1"/>
    <col min="2" max="2" width="16.6328125" style="26" customWidth="1"/>
    <col min="3" max="3" width="19.90625" style="26" customWidth="1"/>
    <col min="4" max="4" width="16.6328125" style="26" customWidth="1"/>
    <col min="5" max="5" width="13.90625" style="26" customWidth="1"/>
    <col min="6" max="6" width="19.453125" customWidth="1"/>
    <col min="9" max="9" width="51.90625" customWidth="1"/>
    <col min="10" max="10" width="15.453125" customWidth="1"/>
    <col min="11" max="11" width="11.54296875" customWidth="1"/>
    <col min="12" max="12" width="7.54296875" customWidth="1"/>
    <col min="13" max="13" width="51.90625" customWidth="1"/>
    <col min="14" max="14" width="16.6328125" customWidth="1"/>
    <col min="15" max="15" width="7.90625" customWidth="1"/>
    <col min="16" max="16" width="52.08984375" customWidth="1"/>
    <col min="17" max="17" width="16.36328125" customWidth="1"/>
    <col min="18" max="18" width="21.36328125" customWidth="1"/>
    <col min="19" max="19" width="22.08984375" customWidth="1"/>
    <col min="20" max="20" width="17.54296875" customWidth="1"/>
    <col min="21" max="21" width="16.6328125" customWidth="1"/>
    <col min="23" max="23" width="40.453125" customWidth="1"/>
    <col min="24" max="24" width="19" customWidth="1"/>
    <col min="25" max="25" width="18" customWidth="1"/>
    <col min="26" max="27" width="16.90625" customWidth="1"/>
    <col min="28" max="28" width="16.453125" customWidth="1"/>
    <col min="34" max="34" width="12.453125" customWidth="1"/>
    <col min="35" max="35" width="16" customWidth="1"/>
    <col min="36" max="36" width="16.08984375" customWidth="1"/>
    <col min="37" max="37" width="16.36328125" bestFit="1" customWidth="1"/>
    <col min="38" max="38" width="12.90625" customWidth="1"/>
  </cols>
  <sheetData>
    <row r="1" spans="1:27" ht="21.5" thickBot="1" x14ac:dyDescent="0.55000000000000004">
      <c r="A1" s="70" t="s">
        <v>140</v>
      </c>
    </row>
    <row r="3" spans="1:27" x14ac:dyDescent="0.35">
      <c r="A3" t="s">
        <v>0</v>
      </c>
    </row>
    <row r="4" spans="1:27" x14ac:dyDescent="0.35">
      <c r="A4" t="s">
        <v>1</v>
      </c>
    </row>
    <row r="5" spans="1:27" x14ac:dyDescent="0.35">
      <c r="A5" t="s">
        <v>2</v>
      </c>
    </row>
    <row r="6" spans="1:27" ht="15" thickBot="1" x14ac:dyDescent="0.4"/>
    <row r="7" spans="1:27" x14ac:dyDescent="0.35">
      <c r="A7" s="277" t="s">
        <v>3</v>
      </c>
      <c r="B7" s="378" t="s">
        <v>28</v>
      </c>
      <c r="C7" s="278" t="s">
        <v>29</v>
      </c>
      <c r="D7" s="278" t="s">
        <v>65</v>
      </c>
      <c r="E7" s="279" t="s">
        <v>30</v>
      </c>
      <c r="F7" s="379" t="s">
        <v>29</v>
      </c>
    </row>
    <row r="8" spans="1:27" x14ac:dyDescent="0.35">
      <c r="A8" s="380" t="s">
        <v>4</v>
      </c>
      <c r="B8" s="27"/>
      <c r="C8" s="11"/>
      <c r="D8" s="11"/>
      <c r="E8" s="28"/>
      <c r="F8" s="126"/>
      <c r="H8" s="232"/>
      <c r="I8" t="s">
        <v>34</v>
      </c>
    </row>
    <row r="9" spans="1:27" x14ac:dyDescent="0.35">
      <c r="A9" s="380" t="s">
        <v>5</v>
      </c>
      <c r="B9" s="234">
        <v>47</v>
      </c>
      <c r="C9" s="11" t="s">
        <v>76</v>
      </c>
      <c r="D9" s="220">
        <v>1</v>
      </c>
      <c r="E9" s="28">
        <f>D9*B9*8</f>
        <v>376</v>
      </c>
      <c r="F9" s="381" t="s">
        <v>149</v>
      </c>
    </row>
    <row r="10" spans="1:27" x14ac:dyDescent="0.35">
      <c r="A10" s="380" t="s">
        <v>6</v>
      </c>
      <c r="B10" s="234">
        <v>47</v>
      </c>
      <c r="C10" s="11" t="s">
        <v>76</v>
      </c>
      <c r="D10" s="220">
        <v>1</v>
      </c>
      <c r="E10" s="28">
        <f>D10*B10*8</f>
        <v>376</v>
      </c>
      <c r="F10" s="381" t="s">
        <v>149</v>
      </c>
      <c r="H10" s="25"/>
      <c r="I10" t="s">
        <v>74</v>
      </c>
    </row>
    <row r="11" spans="1:27" x14ac:dyDescent="0.35">
      <c r="A11" s="380" t="s">
        <v>7</v>
      </c>
      <c r="B11" s="234">
        <v>35</v>
      </c>
      <c r="C11" s="11" t="s">
        <v>76</v>
      </c>
      <c r="D11" s="220">
        <v>1</v>
      </c>
      <c r="E11" s="28">
        <f>D11*B11*8</f>
        <v>280</v>
      </c>
      <c r="F11" s="381" t="s">
        <v>149</v>
      </c>
    </row>
    <row r="12" spans="1:27" x14ac:dyDescent="0.35">
      <c r="A12" s="380" t="s">
        <v>32</v>
      </c>
      <c r="B12" s="234">
        <v>35</v>
      </c>
      <c r="C12" s="11" t="s">
        <v>76</v>
      </c>
      <c r="D12" s="220">
        <v>3</v>
      </c>
      <c r="E12" s="28">
        <f>D12*B12*8</f>
        <v>840</v>
      </c>
      <c r="F12" s="381" t="s">
        <v>149</v>
      </c>
      <c r="H12" s="195"/>
      <c r="I12" t="s">
        <v>66</v>
      </c>
    </row>
    <row r="13" spans="1:27" ht="15" thickBot="1" x14ac:dyDescent="0.4">
      <c r="A13" s="299" t="s">
        <v>162</v>
      </c>
      <c r="B13" s="221">
        <v>123</v>
      </c>
      <c r="C13" s="11" t="s">
        <v>157</v>
      </c>
      <c r="D13" s="230">
        <f>SUM(D9:D12)</f>
        <v>6</v>
      </c>
      <c r="E13" s="75">
        <f>D13*B13</f>
        <v>738</v>
      </c>
      <c r="F13" s="381" t="s">
        <v>149</v>
      </c>
    </row>
    <row r="14" spans="1:27" x14ac:dyDescent="0.35">
      <c r="A14" s="380"/>
      <c r="B14" s="27"/>
      <c r="C14" s="11"/>
      <c r="D14" s="11"/>
      <c r="E14" s="28"/>
      <c r="F14" s="126"/>
      <c r="H14" s="137"/>
      <c r="I14" s="131"/>
      <c r="J14" s="131"/>
      <c r="K14" s="131"/>
      <c r="L14" s="131"/>
      <c r="M14" s="131"/>
      <c r="N14" s="131"/>
      <c r="O14" s="131"/>
      <c r="P14" s="131"/>
      <c r="Q14" s="131"/>
      <c r="R14" s="131"/>
      <c r="S14" s="131"/>
      <c r="T14" s="131"/>
      <c r="U14" s="131"/>
      <c r="V14" s="131"/>
      <c r="W14" s="131"/>
      <c r="X14" s="131"/>
      <c r="Y14" s="131"/>
      <c r="Z14" s="131"/>
      <c r="AA14" s="132"/>
    </row>
    <row r="15" spans="1:27" ht="15" thickBot="1" x14ac:dyDescent="0.4">
      <c r="A15" s="284" t="s">
        <v>33</v>
      </c>
      <c r="B15" s="382"/>
      <c r="C15" s="306"/>
      <c r="D15" s="306"/>
      <c r="E15" s="289">
        <f>SUM(E9:E13)</f>
        <v>2610</v>
      </c>
      <c r="F15" s="506" t="s">
        <v>433</v>
      </c>
      <c r="H15" s="124" t="s">
        <v>412</v>
      </c>
      <c r="I15" s="8"/>
      <c r="J15" s="8"/>
      <c r="K15" s="8"/>
      <c r="L15" s="8"/>
      <c r="M15" s="8"/>
      <c r="N15" s="8"/>
      <c r="O15" s="8"/>
      <c r="P15" s="8"/>
      <c r="Q15" s="8"/>
      <c r="R15" s="8"/>
      <c r="S15" s="8"/>
      <c r="T15" s="8"/>
      <c r="U15" s="8"/>
      <c r="V15" s="8"/>
      <c r="W15" s="8"/>
      <c r="X15" s="8"/>
      <c r="Y15" s="8"/>
      <c r="Z15" s="8"/>
      <c r="AA15" s="126"/>
    </row>
    <row r="16" spans="1:27" ht="15" thickBot="1" x14ac:dyDescent="0.4">
      <c r="A16" s="242"/>
      <c r="B16" s="383"/>
      <c r="C16" s="293"/>
      <c r="D16" s="293"/>
      <c r="E16" s="296"/>
      <c r="H16" s="124"/>
      <c r="I16" s="8"/>
      <c r="J16" s="8"/>
      <c r="K16" s="8"/>
      <c r="L16" s="8"/>
      <c r="M16" s="8"/>
      <c r="N16" s="8"/>
      <c r="O16" s="8"/>
      <c r="P16" s="8"/>
      <c r="Q16" s="8"/>
      <c r="R16" s="8"/>
      <c r="S16" s="8"/>
      <c r="T16" s="8"/>
      <c r="U16" s="8"/>
      <c r="V16" s="8"/>
      <c r="W16" s="8"/>
      <c r="X16" s="8"/>
      <c r="Y16" s="8"/>
      <c r="Z16" s="8"/>
      <c r="AA16" s="126"/>
    </row>
    <row r="17" spans="1:27" x14ac:dyDescent="0.35">
      <c r="A17" s="277" t="s">
        <v>601</v>
      </c>
      <c r="B17" s="378" t="s">
        <v>28</v>
      </c>
      <c r="C17" s="278" t="s">
        <v>29</v>
      </c>
      <c r="D17" s="278" t="s">
        <v>65</v>
      </c>
      <c r="E17" s="279" t="s">
        <v>30</v>
      </c>
      <c r="F17" s="379" t="s">
        <v>29</v>
      </c>
      <c r="H17" s="233">
        <v>40</v>
      </c>
      <c r="I17" s="256" t="s">
        <v>413</v>
      </c>
      <c r="J17" s="8"/>
      <c r="K17" s="8"/>
      <c r="L17" s="8"/>
      <c r="M17" s="8"/>
      <c r="N17" s="8"/>
      <c r="O17" s="8"/>
      <c r="P17" s="8"/>
      <c r="Q17" s="8"/>
      <c r="R17" s="8"/>
      <c r="S17" s="8"/>
      <c r="T17" s="8"/>
      <c r="U17" s="8"/>
      <c r="V17" s="8"/>
      <c r="W17" s="8"/>
      <c r="X17" s="8"/>
      <c r="Y17" s="8"/>
      <c r="Z17" s="8"/>
      <c r="AA17" s="126"/>
    </row>
    <row r="18" spans="1:27" x14ac:dyDescent="0.35">
      <c r="A18" s="384"/>
      <c r="B18" s="27"/>
      <c r="C18" s="11"/>
      <c r="D18" s="11"/>
      <c r="E18" s="28"/>
      <c r="F18" s="125"/>
      <c r="H18" s="233">
        <v>150</v>
      </c>
      <c r="I18" s="256" t="s">
        <v>483</v>
      </c>
      <c r="J18" s="8"/>
      <c r="K18" s="8"/>
      <c r="L18" s="8"/>
      <c r="M18" s="8"/>
      <c r="N18" s="8"/>
      <c r="O18" s="8"/>
      <c r="P18" s="8"/>
      <c r="Q18" s="8"/>
      <c r="R18" s="8"/>
      <c r="S18" s="8"/>
      <c r="T18" s="8"/>
      <c r="U18" s="8"/>
      <c r="V18" s="8"/>
      <c r="W18" s="8"/>
      <c r="X18" s="8"/>
      <c r="Y18" s="8"/>
      <c r="Z18" s="8"/>
      <c r="AA18" s="126"/>
    </row>
    <row r="19" spans="1:27" x14ac:dyDescent="0.35">
      <c r="A19" s="380" t="s">
        <v>9</v>
      </c>
      <c r="B19" s="234">
        <v>152.1</v>
      </c>
      <c r="C19" s="11" t="s">
        <v>10</v>
      </c>
      <c r="D19" s="220">
        <v>1</v>
      </c>
      <c r="E19" s="28">
        <f>D19*B19</f>
        <v>152.1</v>
      </c>
      <c r="F19" s="580" t="s">
        <v>1192</v>
      </c>
      <c r="H19" s="124"/>
      <c r="I19" s="8"/>
      <c r="J19" s="8"/>
      <c r="K19" s="8"/>
      <c r="L19" s="8"/>
      <c r="M19" s="8"/>
      <c r="N19" s="8"/>
      <c r="O19" s="8"/>
      <c r="P19" s="8"/>
      <c r="Q19" s="8"/>
      <c r="R19" s="8"/>
      <c r="S19" s="8"/>
      <c r="T19" s="8"/>
      <c r="U19" s="8"/>
      <c r="V19" s="8"/>
      <c r="W19" s="8"/>
      <c r="X19" s="8"/>
      <c r="Y19" s="8"/>
      <c r="Z19" s="8"/>
      <c r="AA19" s="126"/>
    </row>
    <row r="20" spans="1:27" x14ac:dyDescent="0.35">
      <c r="A20" s="380" t="s">
        <v>11</v>
      </c>
      <c r="B20" s="234">
        <v>10.25</v>
      </c>
      <c r="C20" s="11" t="s">
        <v>10</v>
      </c>
      <c r="D20" s="220">
        <f>SUM(D9:D12)</f>
        <v>6</v>
      </c>
      <c r="E20" s="28">
        <f>D20*B20</f>
        <v>61.5</v>
      </c>
      <c r="F20" s="580" t="s">
        <v>1192</v>
      </c>
      <c r="H20" s="124" t="s">
        <v>414</v>
      </c>
      <c r="I20" s="8"/>
      <c r="J20" s="8"/>
      <c r="K20" s="8"/>
      <c r="L20" s="8"/>
      <c r="M20" s="8"/>
      <c r="N20" s="8"/>
      <c r="O20" s="8"/>
      <c r="P20" s="8"/>
      <c r="Q20" s="8"/>
      <c r="R20" s="8"/>
      <c r="S20" s="8"/>
      <c r="T20" s="8"/>
      <c r="U20" s="8"/>
      <c r="V20" s="8"/>
      <c r="W20" s="8"/>
      <c r="X20" s="8"/>
      <c r="Y20" s="8"/>
      <c r="Z20" s="8"/>
      <c r="AA20" s="126"/>
    </row>
    <row r="21" spans="1:27" x14ac:dyDescent="0.35">
      <c r="A21" s="380" t="s">
        <v>12</v>
      </c>
      <c r="B21" s="234">
        <v>1</v>
      </c>
      <c r="C21" s="11" t="s">
        <v>10</v>
      </c>
      <c r="D21" s="220">
        <v>1</v>
      </c>
      <c r="E21" s="28">
        <f>D21*B21</f>
        <v>1</v>
      </c>
      <c r="F21" s="580" t="s">
        <v>1192</v>
      </c>
      <c r="H21" s="124" t="s">
        <v>415</v>
      </c>
      <c r="I21" s="8"/>
      <c r="J21" s="8"/>
      <c r="K21" s="8"/>
      <c r="L21" s="8"/>
      <c r="M21" s="8"/>
      <c r="N21" s="8"/>
      <c r="O21" s="8"/>
      <c r="P21" s="8"/>
      <c r="Q21" s="8"/>
      <c r="R21" s="8"/>
      <c r="S21" s="8"/>
      <c r="T21" s="8"/>
      <c r="U21" s="8"/>
      <c r="V21" s="8"/>
      <c r="W21" s="8"/>
      <c r="X21" s="8"/>
      <c r="Y21" s="8"/>
      <c r="Z21" s="8"/>
      <c r="AA21" s="126"/>
    </row>
    <row r="22" spans="1:27" ht="15" thickBot="1" x14ac:dyDescent="0.4">
      <c r="A22" s="380" t="s">
        <v>13</v>
      </c>
      <c r="B22" s="234">
        <v>107.95</v>
      </c>
      <c r="C22" s="11" t="s">
        <v>10</v>
      </c>
      <c r="D22" s="220">
        <v>1</v>
      </c>
      <c r="E22" s="28">
        <f>D22*B22</f>
        <v>107.95</v>
      </c>
      <c r="F22" s="580" t="s">
        <v>1192</v>
      </c>
      <c r="H22" s="124"/>
      <c r="I22" s="8"/>
      <c r="J22" s="8"/>
      <c r="K22" s="8"/>
      <c r="L22" s="8"/>
      <c r="M22" s="8"/>
      <c r="N22" s="8"/>
      <c r="O22" s="8"/>
      <c r="P22" s="8"/>
      <c r="Q22" s="211" t="s">
        <v>475</v>
      </c>
      <c r="R22" s="211" t="s">
        <v>471</v>
      </c>
      <c r="S22" s="211" t="s">
        <v>474</v>
      </c>
      <c r="T22" s="211" t="s">
        <v>468</v>
      </c>
      <c r="U22" s="211" t="s">
        <v>30</v>
      </c>
      <c r="V22" s="8"/>
      <c r="W22" s="44" t="s">
        <v>472</v>
      </c>
      <c r="X22" s="44" t="s">
        <v>473</v>
      </c>
      <c r="Y22" s="44" t="s">
        <v>480</v>
      </c>
      <c r="Z22" s="44" t="s">
        <v>75</v>
      </c>
      <c r="AA22" s="126"/>
    </row>
    <row r="23" spans="1:27" x14ac:dyDescent="0.35">
      <c r="A23" s="380" t="s">
        <v>14</v>
      </c>
      <c r="B23" s="234">
        <v>12</v>
      </c>
      <c r="C23" s="31" t="s">
        <v>15</v>
      </c>
      <c r="D23" s="237">
        <v>0.01</v>
      </c>
      <c r="E23" s="28">
        <f>D23*B23</f>
        <v>0.12</v>
      </c>
      <c r="F23" s="580" t="s">
        <v>1192</v>
      </c>
      <c r="H23" s="124"/>
      <c r="I23" s="176" t="s">
        <v>420</v>
      </c>
      <c r="J23" s="196">
        <f>(GIS_inputs!C50/(Vaccination!$H$17*Vaccination!$H$18))</f>
        <v>65</v>
      </c>
      <c r="K23" s="123" t="s">
        <v>432</v>
      </c>
      <c r="L23" s="8"/>
      <c r="M23" s="176" t="s">
        <v>436</v>
      </c>
      <c r="N23" s="199">
        <f>$E$15*$H$17*J23</f>
        <v>6786000</v>
      </c>
      <c r="O23" s="8"/>
      <c r="P23" s="176" t="s">
        <v>441</v>
      </c>
      <c r="Q23" s="519">
        <f>($H$17*$E$30*J23)</f>
        <v>159900</v>
      </c>
      <c r="R23" s="519">
        <f>($E$31*GIS_inputs!C50)</f>
        <v>4695600</v>
      </c>
      <c r="S23" s="519">
        <f>(J23*$E$44)+($E$45*$H$17*(J23/$J$43))</f>
        <v>134363.19362023348</v>
      </c>
      <c r="T23" s="519">
        <f>($E$55*$H$17*(J23/$J$43))</f>
        <v>54682.431725436858</v>
      </c>
      <c r="U23" s="520">
        <f>SUM(Q23:T23)</f>
        <v>5044545.6253456706</v>
      </c>
      <c r="V23" s="8"/>
      <c r="W23" s="2" t="s">
        <v>538</v>
      </c>
      <c r="X23" s="205">
        <f>N23</f>
        <v>6786000</v>
      </c>
      <c r="Y23" s="205">
        <f>U23</f>
        <v>5044545.6253456706</v>
      </c>
      <c r="Z23" s="205">
        <f>X23+Y23</f>
        <v>11830545.62534567</v>
      </c>
      <c r="AA23" s="126"/>
    </row>
    <row r="24" spans="1:27" x14ac:dyDescent="0.35">
      <c r="A24" s="380" t="s">
        <v>16</v>
      </c>
      <c r="B24" s="234">
        <v>20</v>
      </c>
      <c r="C24" s="11" t="s">
        <v>10</v>
      </c>
      <c r="D24" s="220">
        <v>1</v>
      </c>
      <c r="E24" s="28">
        <f>D24*B24/100</f>
        <v>0.2</v>
      </c>
      <c r="F24" s="580" t="s">
        <v>1192</v>
      </c>
      <c r="H24" s="124"/>
      <c r="I24" s="177" t="s">
        <v>421</v>
      </c>
      <c r="J24" s="197">
        <f>(GIS_inputs!C51/(Vaccination!$H$17*Vaccination!$H$18))</f>
        <v>0</v>
      </c>
      <c r="K24" s="125" t="s">
        <v>432</v>
      </c>
      <c r="L24" s="8"/>
      <c r="M24" s="177" t="s">
        <v>437</v>
      </c>
      <c r="N24" s="200">
        <f>$E$15*$H$17*J24</f>
        <v>0</v>
      </c>
      <c r="O24" s="8"/>
      <c r="P24" s="177" t="s">
        <v>448</v>
      </c>
      <c r="Q24" s="204">
        <f>($H$17*$E$30*J24)</f>
        <v>0</v>
      </c>
      <c r="R24" s="203">
        <f>($E$31*GIS_inputs!C51)</f>
        <v>0</v>
      </c>
      <c r="S24" s="204">
        <f>(J24*$E$44)+($E$45*$H$17*(J24/$J$43))</f>
        <v>0</v>
      </c>
      <c r="T24" s="204">
        <f>($E$55*$H$17*(J24/$J$43))</f>
        <v>0</v>
      </c>
      <c r="U24" s="521">
        <f>SUM(Q24:T24)</f>
        <v>0</v>
      </c>
      <c r="V24" s="8"/>
      <c r="W24" s="2" t="s">
        <v>539</v>
      </c>
      <c r="X24" s="205">
        <f t="shared" ref="X24:X41" si="0">N24</f>
        <v>0</v>
      </c>
      <c r="Y24" s="205">
        <f>U24</f>
        <v>0</v>
      </c>
      <c r="Z24" s="205">
        <f>X24+Y24</f>
        <v>0</v>
      </c>
      <c r="AA24" s="126"/>
    </row>
    <row r="25" spans="1:27" x14ac:dyDescent="0.35">
      <c r="A25" s="380" t="s">
        <v>17</v>
      </c>
      <c r="B25" s="234">
        <v>2.93</v>
      </c>
      <c r="C25" s="11" t="s">
        <v>10</v>
      </c>
      <c r="D25" s="220">
        <v>1</v>
      </c>
      <c r="E25" s="28">
        <f>D25*B25</f>
        <v>2.93</v>
      </c>
      <c r="F25" s="580" t="s">
        <v>1192</v>
      </c>
      <c r="H25" s="124"/>
      <c r="I25" s="177" t="s">
        <v>422</v>
      </c>
      <c r="J25" s="197">
        <f>(GIS_inputs!C52/(Vaccination!$H$17*Vaccination!$H$18))</f>
        <v>0</v>
      </c>
      <c r="K25" s="125" t="s">
        <v>432</v>
      </c>
      <c r="L25" s="8"/>
      <c r="M25" s="177" t="s">
        <v>438</v>
      </c>
      <c r="N25" s="200">
        <f>$E$15*$H$17*J25</f>
        <v>0</v>
      </c>
      <c r="O25" s="8"/>
      <c r="P25" s="177" t="s">
        <v>449</v>
      </c>
      <c r="Q25" s="204">
        <f>($H$17*$E$30*J25)</f>
        <v>0</v>
      </c>
      <c r="R25" s="203">
        <f>($E$31*GIS_inputs!C52)</f>
        <v>0</v>
      </c>
      <c r="S25" s="204">
        <f>(J25*$E$44)+($E$45*$H$17*(J25/$J$43))</f>
        <v>0</v>
      </c>
      <c r="T25" s="204">
        <f>($E$55*$H$17*(J25/$J$43))</f>
        <v>0</v>
      </c>
      <c r="U25" s="521">
        <f>SUM(Q25:T25)</f>
        <v>0</v>
      </c>
      <c r="V25" s="8"/>
      <c r="W25" s="2" t="s">
        <v>540</v>
      </c>
      <c r="X25" s="205">
        <f t="shared" si="0"/>
        <v>0</v>
      </c>
      <c r="Y25" s="205">
        <f>U25</f>
        <v>0</v>
      </c>
      <c r="Z25" s="205">
        <f>X25+Y25</f>
        <v>0</v>
      </c>
      <c r="AA25" s="126"/>
    </row>
    <row r="26" spans="1:27" x14ac:dyDescent="0.35">
      <c r="A26" s="380" t="s">
        <v>18</v>
      </c>
      <c r="B26" s="234">
        <v>875</v>
      </c>
      <c r="C26" s="11" t="s">
        <v>10</v>
      </c>
      <c r="D26" s="220">
        <v>1</v>
      </c>
      <c r="E26" s="28">
        <f>D26*B26/100</f>
        <v>8.75</v>
      </c>
      <c r="F26" s="580" t="s">
        <v>1192</v>
      </c>
      <c r="H26" s="124"/>
      <c r="I26" s="177" t="s">
        <v>423</v>
      </c>
      <c r="J26" s="197">
        <f>(GIS_inputs!C53/(Vaccination!$H$17*Vaccination!$H$18))</f>
        <v>0</v>
      </c>
      <c r="K26" s="125" t="s">
        <v>432</v>
      </c>
      <c r="L26" s="8"/>
      <c r="M26" s="177" t="s">
        <v>464</v>
      </c>
      <c r="N26" s="200">
        <f>$E$15*$H$17*J26</f>
        <v>0</v>
      </c>
      <c r="O26" s="8"/>
      <c r="P26" s="177" t="s">
        <v>450</v>
      </c>
      <c r="Q26" s="204">
        <f>($H$17*$E$30*J26)</f>
        <v>0</v>
      </c>
      <c r="R26" s="203">
        <f>($E$31*GIS_inputs!C53)</f>
        <v>0</v>
      </c>
      <c r="S26" s="204">
        <f>(J26*$E$44)+($E$45*$H$17*(J26/$J$43))</f>
        <v>0</v>
      </c>
      <c r="T26" s="204">
        <f>($E$55*$H$17*(J26/$J$43))</f>
        <v>0</v>
      </c>
      <c r="U26" s="521">
        <f>SUM(Q26:T26)</f>
        <v>0</v>
      </c>
      <c r="V26" s="8"/>
      <c r="W26" s="2" t="s">
        <v>541</v>
      </c>
      <c r="X26" s="205">
        <f t="shared" si="0"/>
        <v>0</v>
      </c>
      <c r="Y26" s="205">
        <f>U26</f>
        <v>0</v>
      </c>
      <c r="Z26" s="205">
        <f>X26+Y26</f>
        <v>0</v>
      </c>
      <c r="AA26" s="126"/>
    </row>
    <row r="27" spans="1:27" x14ac:dyDescent="0.35">
      <c r="A27" s="380" t="s">
        <v>19</v>
      </c>
      <c r="B27" s="234">
        <v>7.99</v>
      </c>
      <c r="C27" s="11" t="s">
        <v>10</v>
      </c>
      <c r="D27" s="220">
        <v>1</v>
      </c>
      <c r="E27" s="28">
        <f>D27*B27</f>
        <v>7.99</v>
      </c>
      <c r="F27" s="580" t="s">
        <v>1192</v>
      </c>
      <c r="H27" s="124"/>
      <c r="I27" s="124"/>
      <c r="J27" s="193"/>
      <c r="K27" s="126"/>
      <c r="L27" s="8"/>
      <c r="M27" s="124"/>
      <c r="N27" s="181"/>
      <c r="O27" s="8"/>
      <c r="P27" s="124"/>
      <c r="Q27" s="188"/>
      <c r="R27" s="188"/>
      <c r="S27" s="189"/>
      <c r="T27" s="8"/>
      <c r="U27" s="126"/>
      <c r="V27" s="8"/>
      <c r="W27" s="9"/>
      <c r="X27" s="183"/>
      <c r="Y27" s="9"/>
      <c r="Z27" s="8"/>
      <c r="AA27" s="126"/>
    </row>
    <row r="28" spans="1:27" x14ac:dyDescent="0.35">
      <c r="A28" s="380" t="s">
        <v>1207</v>
      </c>
      <c r="B28" s="234"/>
      <c r="C28" s="11"/>
      <c r="D28" s="220"/>
      <c r="E28" s="28">
        <f>B28*D28</f>
        <v>0</v>
      </c>
      <c r="F28" s="580" t="s">
        <v>1192</v>
      </c>
      <c r="H28" s="124"/>
      <c r="I28" s="177" t="s">
        <v>416</v>
      </c>
      <c r="J28" s="197">
        <f>(GIS_inputs!C121/(Vaccination!$H$17*Vaccination!$H$18))</f>
        <v>86.666666666666671</v>
      </c>
      <c r="K28" s="125" t="s">
        <v>432</v>
      </c>
      <c r="L28" s="8"/>
      <c r="M28" s="177" t="s">
        <v>442</v>
      </c>
      <c r="N28" s="200">
        <f>$E$15*$H$17*J28</f>
        <v>9048000</v>
      </c>
      <c r="O28" s="8"/>
      <c r="P28" s="177" t="s">
        <v>451</v>
      </c>
      <c r="Q28" s="204">
        <f>($H$17*$E$30*J28)</f>
        <v>213200</v>
      </c>
      <c r="R28" s="456">
        <f>($E$31*GIS_inputs!C121)</f>
        <v>6260800.0000000009</v>
      </c>
      <c r="S28" s="204">
        <f>(J28*$E$44)+($E$45*$H$17*(J28/$J$43))</f>
        <v>179150.92482697801</v>
      </c>
      <c r="T28" s="204">
        <f>($E$55*$H$17*(J28/$J$43))</f>
        <v>72909.908967249139</v>
      </c>
      <c r="U28" s="521">
        <f>SUM(Q28:T28)</f>
        <v>6726060.8337942278</v>
      </c>
      <c r="V28" s="8"/>
      <c r="W28" s="2" t="s">
        <v>542</v>
      </c>
      <c r="X28" s="205">
        <f t="shared" si="0"/>
        <v>9048000</v>
      </c>
      <c r="Y28" s="205">
        <f>U28</f>
        <v>6726060.8337942278</v>
      </c>
      <c r="Z28" s="205">
        <f t="shared" ref="Z28:Z41" si="1">X28+Y28</f>
        <v>15774060.833794229</v>
      </c>
      <c r="AA28" s="126"/>
    </row>
    <row r="29" spans="1:27" x14ac:dyDescent="0.35">
      <c r="A29" s="385"/>
      <c r="B29" s="27"/>
      <c r="C29" s="11"/>
      <c r="D29" s="11"/>
      <c r="E29" s="28"/>
      <c r="F29" s="580"/>
      <c r="H29" s="124"/>
      <c r="I29" s="177" t="s">
        <v>417</v>
      </c>
      <c r="J29" s="197">
        <f>(GIS_inputs!C122/(Vaccination!$H$17*Vaccination!$H$18))</f>
        <v>0</v>
      </c>
      <c r="K29" s="125" t="s">
        <v>432</v>
      </c>
      <c r="L29" s="8"/>
      <c r="M29" s="177" t="s">
        <v>443</v>
      </c>
      <c r="N29" s="200">
        <f>$E$15*$H$17*J29</f>
        <v>0</v>
      </c>
      <c r="O29" s="8"/>
      <c r="P29" s="177" t="s">
        <v>452</v>
      </c>
      <c r="Q29" s="204">
        <f>($H$17*$E$30*J29)</f>
        <v>0</v>
      </c>
      <c r="R29" s="456">
        <f>($E$31*GIS_inputs!C122)</f>
        <v>0</v>
      </c>
      <c r="S29" s="204">
        <f>(J29*$E$44)+($E$45*$H$17*(J29/$J$43))</f>
        <v>0</v>
      </c>
      <c r="T29" s="204">
        <f>($E$55*$H$17*(J29/$J$43))</f>
        <v>0</v>
      </c>
      <c r="U29" s="521">
        <f>SUM(Q29:T29)</f>
        <v>0</v>
      </c>
      <c r="V29" s="8"/>
      <c r="W29" s="2" t="s">
        <v>543</v>
      </c>
      <c r="X29" s="205">
        <f t="shared" si="0"/>
        <v>0</v>
      </c>
      <c r="Y29" s="205">
        <f>U29</f>
        <v>0</v>
      </c>
      <c r="Z29" s="205">
        <f t="shared" si="1"/>
        <v>0</v>
      </c>
      <c r="AA29" s="126"/>
    </row>
    <row r="30" spans="1:27" x14ac:dyDescent="0.35">
      <c r="A30" s="341" t="s">
        <v>434</v>
      </c>
      <c r="B30" s="27"/>
      <c r="C30" s="11"/>
      <c r="D30" s="11"/>
      <c r="E30" s="30">
        <f>E20</f>
        <v>61.5</v>
      </c>
      <c r="F30" s="420" t="s">
        <v>1192</v>
      </c>
      <c r="H30" s="124"/>
      <c r="I30" s="177" t="s">
        <v>418</v>
      </c>
      <c r="J30" s="197">
        <f>(GIS_inputs!C123/(Vaccination!$H$17*Vaccination!$H$18))</f>
        <v>0</v>
      </c>
      <c r="K30" s="125" t="s">
        <v>432</v>
      </c>
      <c r="L30" s="8"/>
      <c r="M30" s="177" t="s">
        <v>444</v>
      </c>
      <c r="N30" s="200">
        <f>$E$15*$H$17*J30</f>
        <v>0</v>
      </c>
      <c r="O30" s="8"/>
      <c r="P30" s="177" t="s">
        <v>453</v>
      </c>
      <c r="Q30" s="204">
        <f>($H$17*$E$30*J30)</f>
        <v>0</v>
      </c>
      <c r="R30" s="456">
        <f>($E$31*GIS_inputs!C123)</f>
        <v>0</v>
      </c>
      <c r="S30" s="204">
        <f>(J30*$E$44)+($E$45*$H$17*(J30/$J$43))</f>
        <v>0</v>
      </c>
      <c r="T30" s="204">
        <f>($E$55*$H$17*(J30/$J$43))</f>
        <v>0</v>
      </c>
      <c r="U30" s="521">
        <f>SUM(Q30:T30)</f>
        <v>0</v>
      </c>
      <c r="V30" s="8"/>
      <c r="W30" s="2" t="s">
        <v>544</v>
      </c>
      <c r="X30" s="205">
        <f t="shared" si="0"/>
        <v>0</v>
      </c>
      <c r="Y30" s="205">
        <f>U30</f>
        <v>0</v>
      </c>
      <c r="Z30" s="205">
        <f t="shared" si="1"/>
        <v>0</v>
      </c>
      <c r="AA30" s="126"/>
    </row>
    <row r="31" spans="1:27" x14ac:dyDescent="0.35">
      <c r="A31" s="341" t="s">
        <v>37</v>
      </c>
      <c r="B31" s="27"/>
      <c r="C31" s="11"/>
      <c r="D31" s="11"/>
      <c r="E31" s="30">
        <f>E21+E23+E25+E27</f>
        <v>12.040000000000001</v>
      </c>
      <c r="F31" s="420" t="s">
        <v>1264</v>
      </c>
      <c r="H31" s="124"/>
      <c r="I31" s="177" t="s">
        <v>419</v>
      </c>
      <c r="J31" s="197">
        <f>(GIS_inputs!C124/(Vaccination!$H$17*Vaccination!$H$18))</f>
        <v>0</v>
      </c>
      <c r="K31" s="125" t="s">
        <v>432</v>
      </c>
      <c r="L31" s="8"/>
      <c r="M31" s="177" t="s">
        <v>462</v>
      </c>
      <c r="N31" s="200">
        <f>$E$15*$H$17*J31</f>
        <v>0</v>
      </c>
      <c r="O31" s="8"/>
      <c r="P31" s="177" t="s">
        <v>454</v>
      </c>
      <c r="Q31" s="204">
        <f>($H$17*$E$30*J31)</f>
        <v>0</v>
      </c>
      <c r="R31" s="456">
        <f>($E$31*GIS_inputs!C124)</f>
        <v>0</v>
      </c>
      <c r="S31" s="204">
        <f>(J31*$E$44)+($E$45*$H$17*(J31/$J$43))</f>
        <v>0</v>
      </c>
      <c r="T31" s="204">
        <f>($E$55*$H$17*(J31/$J$43))</f>
        <v>0</v>
      </c>
      <c r="U31" s="521">
        <f>SUM(Q31:T31)</f>
        <v>0</v>
      </c>
      <c r="V31" s="8"/>
      <c r="W31" s="2" t="s">
        <v>545</v>
      </c>
      <c r="X31" s="205">
        <f t="shared" si="0"/>
        <v>0</v>
      </c>
      <c r="Y31" s="205">
        <f>U31</f>
        <v>0</v>
      </c>
      <c r="Z31" s="205">
        <f t="shared" si="1"/>
        <v>0</v>
      </c>
      <c r="AA31" s="126"/>
    </row>
    <row r="32" spans="1:27" ht="15" thickBot="1" x14ac:dyDescent="0.4">
      <c r="A32" s="284" t="s">
        <v>36</v>
      </c>
      <c r="B32" s="382"/>
      <c r="C32" s="306"/>
      <c r="D32" s="306"/>
      <c r="E32" s="289">
        <f>E19+E22+E24+E26+E28</f>
        <v>269</v>
      </c>
      <c r="F32" s="506" t="s">
        <v>1192</v>
      </c>
      <c r="H32" s="124"/>
      <c r="I32" s="124"/>
      <c r="J32" s="193"/>
      <c r="K32" s="126"/>
      <c r="L32" s="8"/>
      <c r="M32" s="124"/>
      <c r="N32" s="181"/>
      <c r="O32" s="8"/>
      <c r="P32" s="124"/>
      <c r="Q32" s="188"/>
      <c r="R32" s="188"/>
      <c r="S32" s="189"/>
      <c r="T32" s="8"/>
      <c r="U32" s="126"/>
      <c r="V32" s="8"/>
      <c r="W32" s="8"/>
      <c r="X32" s="184"/>
      <c r="Y32" s="8"/>
      <c r="Z32" s="8"/>
      <c r="AA32" s="126"/>
    </row>
    <row r="33" spans="1:28" ht="15" thickBot="1" x14ac:dyDescent="0.4">
      <c r="A33" s="242"/>
      <c r="B33" s="383"/>
      <c r="C33" s="293"/>
      <c r="D33" s="293"/>
      <c r="E33" s="296"/>
      <c r="H33" s="124"/>
      <c r="I33" s="177" t="s">
        <v>424</v>
      </c>
      <c r="J33" s="197">
        <f>(GIS_inputs!C163/(Vaccination!$H$17*Vaccination!$H$18))</f>
        <v>5.833333333333333</v>
      </c>
      <c r="K33" s="125" t="s">
        <v>432</v>
      </c>
      <c r="L33" s="8"/>
      <c r="M33" s="177" t="s">
        <v>445</v>
      </c>
      <c r="N33" s="200">
        <f>$E$15*$H$17*J33</f>
        <v>609000</v>
      </c>
      <c r="O33" s="8"/>
      <c r="P33" s="177" t="s">
        <v>455</v>
      </c>
      <c r="Q33" s="204">
        <f>($H$17*$E$30*J33)</f>
        <v>14350</v>
      </c>
      <c r="R33" s="456">
        <f>($E$31*GIS_inputs!C163)</f>
        <v>421400.00000000006</v>
      </c>
      <c r="S33" s="204">
        <f>(J33*$E$44)+($E$45*$H$17*(J33/$J$43))</f>
        <v>12058.235324892748</v>
      </c>
      <c r="T33" s="204">
        <f>($E$55*$H$17*(J33/$J$43))</f>
        <v>4907.3977189494608</v>
      </c>
      <c r="U33" s="521">
        <f>SUM(Q33:T33)</f>
        <v>452715.63304384227</v>
      </c>
      <c r="V33" s="8"/>
      <c r="W33" s="2" t="s">
        <v>546</v>
      </c>
      <c r="X33" s="205">
        <f t="shared" si="0"/>
        <v>609000</v>
      </c>
      <c r="Y33" s="205">
        <f>U33</f>
        <v>452715.63304384227</v>
      </c>
      <c r="Z33" s="205">
        <f t="shared" si="1"/>
        <v>1061715.6330438424</v>
      </c>
      <c r="AA33" s="126"/>
    </row>
    <row r="34" spans="1:28" x14ac:dyDescent="0.35">
      <c r="A34" s="277" t="s">
        <v>20</v>
      </c>
      <c r="B34" s="378" t="s">
        <v>28</v>
      </c>
      <c r="C34" s="278" t="s">
        <v>29</v>
      </c>
      <c r="D34" s="278" t="s">
        <v>65</v>
      </c>
      <c r="E34" s="279" t="s">
        <v>30</v>
      </c>
      <c r="F34" s="379" t="s">
        <v>29</v>
      </c>
      <c r="H34" s="124"/>
      <c r="I34" s="177" t="s">
        <v>425</v>
      </c>
      <c r="J34" s="197">
        <f>(GIS_inputs!C164/(Vaccination!$H$17*Vaccination!$H$18))</f>
        <v>0.58333333333333337</v>
      </c>
      <c r="K34" s="125" t="s">
        <v>432</v>
      </c>
      <c r="L34" s="8"/>
      <c r="M34" s="177" t="s">
        <v>446</v>
      </c>
      <c r="N34" s="200">
        <f>$E$15*$H$17*J34</f>
        <v>60900.000000000007</v>
      </c>
      <c r="O34" s="8"/>
      <c r="P34" s="177" t="s">
        <v>456</v>
      </c>
      <c r="Q34" s="204">
        <f>($H$17*$E$30*J34)</f>
        <v>1435</v>
      </c>
      <c r="R34" s="456">
        <f>($E$31*GIS_inputs!C164)</f>
        <v>42140</v>
      </c>
      <c r="S34" s="204">
        <f>(J34*$E$44)+($E$45*$H$17*(J34/$J$43))</f>
        <v>1205.8235324892748</v>
      </c>
      <c r="T34" s="204">
        <f>($E$55*$H$17*(J34/$J$43))</f>
        <v>490.73977189494616</v>
      </c>
      <c r="U34" s="521">
        <f>SUM(Q34:T34)</f>
        <v>45271.563304384217</v>
      </c>
      <c r="V34" s="8"/>
      <c r="W34" s="2" t="s">
        <v>547</v>
      </c>
      <c r="X34" s="205">
        <f t="shared" si="0"/>
        <v>60900.000000000007</v>
      </c>
      <c r="Y34" s="205">
        <f>U34</f>
        <v>45271.563304384217</v>
      </c>
      <c r="Z34" s="205">
        <f t="shared" si="1"/>
        <v>106171.56330438422</v>
      </c>
      <c r="AA34" s="126"/>
    </row>
    <row r="35" spans="1:28" x14ac:dyDescent="0.35">
      <c r="A35" s="380"/>
      <c r="B35" s="27"/>
      <c r="C35" s="11"/>
      <c r="D35" s="11"/>
      <c r="E35" s="28"/>
      <c r="F35" s="125"/>
      <c r="H35" s="124"/>
      <c r="I35" s="177" t="s">
        <v>426</v>
      </c>
      <c r="J35" s="197">
        <f>(GIS_inputs!C165/(Vaccination!$H$17*Vaccination!$H$18))</f>
        <v>1.1666666666666667</v>
      </c>
      <c r="K35" s="125" t="s">
        <v>432</v>
      </c>
      <c r="L35" s="8"/>
      <c r="M35" s="177" t="s">
        <v>447</v>
      </c>
      <c r="N35" s="200">
        <f>$E$15*$H$17*J35</f>
        <v>121800.00000000001</v>
      </c>
      <c r="O35" s="8"/>
      <c r="P35" s="177" t="s">
        <v>457</v>
      </c>
      <c r="Q35" s="204">
        <f>($H$17*$E$30*J35)</f>
        <v>2870</v>
      </c>
      <c r="R35" s="456">
        <f>($E$31*GIS_inputs!C165)</f>
        <v>84280</v>
      </c>
      <c r="S35" s="204">
        <f>(J35*$E$44)+($E$45*$H$17*(J35/$J$43))</f>
        <v>2411.6470649785497</v>
      </c>
      <c r="T35" s="204">
        <f>($E$55*$H$17*(J35/$J$43))</f>
        <v>981.47954378989232</v>
      </c>
      <c r="U35" s="521">
        <f>SUM(Q35:T35)</f>
        <v>90543.126608768434</v>
      </c>
      <c r="V35" s="8"/>
      <c r="W35" s="2" t="s">
        <v>548</v>
      </c>
      <c r="X35" s="205">
        <f t="shared" si="0"/>
        <v>121800.00000000001</v>
      </c>
      <c r="Y35" s="205">
        <f>U35</f>
        <v>90543.126608768434</v>
      </c>
      <c r="Z35" s="205">
        <f t="shared" si="1"/>
        <v>212343.12660876845</v>
      </c>
      <c r="AA35" s="126"/>
    </row>
    <row r="36" spans="1:28" x14ac:dyDescent="0.35">
      <c r="A36" s="380" t="s">
        <v>21</v>
      </c>
      <c r="B36" s="234">
        <v>5000</v>
      </c>
      <c r="C36" s="11" t="s">
        <v>10</v>
      </c>
      <c r="D36" s="220">
        <v>1</v>
      </c>
      <c r="E36" s="28">
        <f t="shared" ref="E36:E41" si="2">D36*B36</f>
        <v>5000</v>
      </c>
      <c r="F36" s="580" t="s">
        <v>1192</v>
      </c>
      <c r="H36" s="124"/>
      <c r="I36" s="177" t="s">
        <v>427</v>
      </c>
      <c r="J36" s="197">
        <f>(GIS_inputs!C166/(Vaccination!$H$17*Vaccination!$H$18))</f>
        <v>3.3333333333333333E-2</v>
      </c>
      <c r="K36" s="125" t="s">
        <v>432</v>
      </c>
      <c r="L36" s="8"/>
      <c r="M36" s="177" t="s">
        <v>463</v>
      </c>
      <c r="N36" s="200">
        <f>$E$15*$H$17*J36</f>
        <v>3480</v>
      </c>
      <c r="O36" s="8"/>
      <c r="P36" s="177" t="s">
        <v>458</v>
      </c>
      <c r="Q36" s="204">
        <f>($H$17*$E$30*J36)</f>
        <v>82</v>
      </c>
      <c r="R36" s="456">
        <f>($E$31*GIS_inputs!C166)</f>
        <v>2408</v>
      </c>
      <c r="S36" s="204">
        <f>(J36*$E$44)+($E$45*$H$17*(J36/$J$43))</f>
        <v>68.904201856529994</v>
      </c>
      <c r="T36" s="204">
        <f>($E$55*$H$17*(J36/$J$43))</f>
        <v>28.042272679711207</v>
      </c>
      <c r="U36" s="521">
        <f>SUM(Q36:T36)</f>
        <v>2586.9464745362411</v>
      </c>
      <c r="V36" s="8"/>
      <c r="W36" s="2" t="s">
        <v>549</v>
      </c>
      <c r="X36" s="205">
        <f t="shared" si="0"/>
        <v>3480</v>
      </c>
      <c r="Y36" s="205">
        <f>U36</f>
        <v>2586.9464745362411</v>
      </c>
      <c r="Z36" s="205">
        <f t="shared" si="1"/>
        <v>6066.9464745362411</v>
      </c>
      <c r="AA36" s="126"/>
    </row>
    <row r="37" spans="1:28" x14ac:dyDescent="0.35">
      <c r="A37" s="380" t="s">
        <v>22</v>
      </c>
      <c r="B37" s="234">
        <v>85</v>
      </c>
      <c r="C37" s="11" t="s">
        <v>10</v>
      </c>
      <c r="D37" s="220">
        <v>30</v>
      </c>
      <c r="E37" s="28">
        <f t="shared" si="2"/>
        <v>2550</v>
      </c>
      <c r="F37" s="580" t="s">
        <v>1192</v>
      </c>
      <c r="H37" s="124"/>
      <c r="I37" s="124"/>
      <c r="J37" s="193"/>
      <c r="K37" s="126"/>
      <c r="L37" s="8"/>
      <c r="M37" s="124"/>
      <c r="N37" s="181"/>
      <c r="O37" s="8"/>
      <c r="P37" s="124"/>
      <c r="Q37" s="188"/>
      <c r="R37" s="188"/>
      <c r="S37" s="189"/>
      <c r="T37" s="8"/>
      <c r="U37" s="126"/>
      <c r="V37" s="8"/>
      <c r="W37" s="8"/>
      <c r="X37" s="184"/>
      <c r="Y37" s="8"/>
      <c r="Z37" s="8"/>
      <c r="AA37" s="126"/>
    </row>
    <row r="38" spans="1:28" x14ac:dyDescent="0.35">
      <c r="A38" s="380" t="s">
        <v>23</v>
      </c>
      <c r="B38" s="234">
        <v>2187</v>
      </c>
      <c r="C38" s="11" t="s">
        <v>10</v>
      </c>
      <c r="D38" s="220">
        <v>1</v>
      </c>
      <c r="E38" s="28">
        <f t="shared" si="2"/>
        <v>2187</v>
      </c>
      <c r="F38" s="580" t="s">
        <v>1192</v>
      </c>
      <c r="H38" s="124"/>
      <c r="I38" s="177" t="s">
        <v>428</v>
      </c>
      <c r="J38" s="197">
        <f>J33+J28+J23</f>
        <v>157.5</v>
      </c>
      <c r="K38" s="125" t="s">
        <v>432</v>
      </c>
      <c r="L38" s="8"/>
      <c r="M38" s="177" t="s">
        <v>435</v>
      </c>
      <c r="N38" s="200">
        <f>$E$15*$H$17*J38</f>
        <v>16443000</v>
      </c>
      <c r="O38" s="8"/>
      <c r="P38" s="177" t="s">
        <v>469</v>
      </c>
      <c r="Q38" s="204">
        <f t="shared" ref="Q38:T41" si="3">Q33+Q28+Q23</f>
        <v>387450</v>
      </c>
      <c r="R38" s="223">
        <f t="shared" si="3"/>
        <v>11377800</v>
      </c>
      <c r="S38" s="223">
        <f t="shared" si="3"/>
        <v>325572.35377210425</v>
      </c>
      <c r="T38" s="223">
        <f t="shared" si="3"/>
        <v>132499.73841163545</v>
      </c>
      <c r="U38" s="521">
        <f>SUM(Q38:T38)</f>
        <v>12223322.092183739</v>
      </c>
      <c r="V38" s="8"/>
      <c r="W38" s="2" t="s">
        <v>551</v>
      </c>
      <c r="X38" s="205">
        <f t="shared" si="0"/>
        <v>16443000</v>
      </c>
      <c r="Y38" s="205">
        <f>U38</f>
        <v>12223322.092183739</v>
      </c>
      <c r="Z38" s="205">
        <f t="shared" si="1"/>
        <v>28666322.092183739</v>
      </c>
      <c r="AA38" s="126"/>
    </row>
    <row r="39" spans="1:28" x14ac:dyDescent="0.35">
      <c r="A39" s="380" t="s">
        <v>24</v>
      </c>
      <c r="B39" s="234">
        <v>81</v>
      </c>
      <c r="C39" s="11" t="s">
        <v>25</v>
      </c>
      <c r="D39" s="220">
        <v>1</v>
      </c>
      <c r="E39" s="28">
        <f t="shared" si="2"/>
        <v>81</v>
      </c>
      <c r="F39" s="580" t="s">
        <v>149</v>
      </c>
      <c r="H39" s="124"/>
      <c r="I39" s="177" t="s">
        <v>429</v>
      </c>
      <c r="J39" s="197">
        <f>J34+J29+J24</f>
        <v>0.58333333333333337</v>
      </c>
      <c r="K39" s="125" t="s">
        <v>432</v>
      </c>
      <c r="L39" s="8"/>
      <c r="M39" s="177" t="s">
        <v>459</v>
      </c>
      <c r="N39" s="200">
        <f>$E$15*$H$17*J39</f>
        <v>60900.000000000007</v>
      </c>
      <c r="O39" s="8"/>
      <c r="P39" s="177" t="s">
        <v>477</v>
      </c>
      <c r="Q39" s="204">
        <f t="shared" si="3"/>
        <v>1435</v>
      </c>
      <c r="R39" s="223">
        <f t="shared" si="3"/>
        <v>42140</v>
      </c>
      <c r="S39" s="223">
        <f t="shared" si="3"/>
        <v>1205.8235324892748</v>
      </c>
      <c r="T39" s="223">
        <f t="shared" si="3"/>
        <v>490.73977189494616</v>
      </c>
      <c r="U39" s="521">
        <f>SUM(Q39:T39)</f>
        <v>45271.563304384217</v>
      </c>
      <c r="V39" s="8"/>
      <c r="W39" s="2" t="s">
        <v>552</v>
      </c>
      <c r="X39" s="205">
        <f t="shared" si="0"/>
        <v>60900.000000000007</v>
      </c>
      <c r="Y39" s="205">
        <f>U39</f>
        <v>45271.563304384217</v>
      </c>
      <c r="Z39" s="205">
        <f t="shared" si="1"/>
        <v>106171.56330438422</v>
      </c>
      <c r="AA39" s="126"/>
    </row>
    <row r="40" spans="1:28" x14ac:dyDescent="0.35">
      <c r="A40" s="380" t="s">
        <v>26</v>
      </c>
      <c r="B40" s="234">
        <v>75.857142857142861</v>
      </c>
      <c r="C40" s="11" t="s">
        <v>25</v>
      </c>
      <c r="D40" s="220">
        <v>1</v>
      </c>
      <c r="E40" s="28">
        <f t="shared" si="2"/>
        <v>75.857142857142861</v>
      </c>
      <c r="F40" s="580" t="s">
        <v>149</v>
      </c>
      <c r="H40" s="124"/>
      <c r="I40" s="177" t="s">
        <v>430</v>
      </c>
      <c r="J40" s="197">
        <f>J35+J30+J25</f>
        <v>1.1666666666666667</v>
      </c>
      <c r="K40" s="125" t="s">
        <v>432</v>
      </c>
      <c r="L40" s="8"/>
      <c r="M40" s="177" t="s">
        <v>460</v>
      </c>
      <c r="N40" s="200">
        <f>$E$15*$H$17*J40</f>
        <v>121800.00000000001</v>
      </c>
      <c r="O40" s="8"/>
      <c r="P40" s="177" t="s">
        <v>478</v>
      </c>
      <c r="Q40" s="204">
        <f t="shared" si="3"/>
        <v>2870</v>
      </c>
      <c r="R40" s="223">
        <f t="shared" si="3"/>
        <v>84280</v>
      </c>
      <c r="S40" s="223">
        <f t="shared" si="3"/>
        <v>2411.6470649785497</v>
      </c>
      <c r="T40" s="223">
        <f t="shared" si="3"/>
        <v>981.47954378989232</v>
      </c>
      <c r="U40" s="521">
        <f>SUM(Q40:T40)</f>
        <v>90543.126608768434</v>
      </c>
      <c r="V40" s="8"/>
      <c r="W40" s="2" t="s">
        <v>553</v>
      </c>
      <c r="X40" s="205">
        <f t="shared" si="0"/>
        <v>121800.00000000001</v>
      </c>
      <c r="Y40" s="205">
        <f>U40</f>
        <v>90543.126608768434</v>
      </c>
      <c r="Z40" s="205">
        <f t="shared" si="1"/>
        <v>212343.12660876845</v>
      </c>
      <c r="AA40" s="126"/>
    </row>
    <row r="41" spans="1:28" x14ac:dyDescent="0.35">
      <c r="A41" s="380" t="s">
        <v>27</v>
      </c>
      <c r="B41" s="234">
        <v>18.95</v>
      </c>
      <c r="C41" s="11" t="s">
        <v>10</v>
      </c>
      <c r="D41" s="220">
        <f>D12</f>
        <v>3</v>
      </c>
      <c r="E41" s="28">
        <f t="shared" si="2"/>
        <v>56.849999999999994</v>
      </c>
      <c r="F41" s="580" t="s">
        <v>1192</v>
      </c>
      <c r="H41" s="124"/>
      <c r="I41" s="177" t="s">
        <v>431</v>
      </c>
      <c r="J41" s="197">
        <f>J36+J31+J26</f>
        <v>3.3333333333333333E-2</v>
      </c>
      <c r="K41" s="125" t="s">
        <v>432</v>
      </c>
      <c r="L41" s="8"/>
      <c r="M41" s="177" t="s">
        <v>461</v>
      </c>
      <c r="N41" s="200">
        <f>$E$15*$H$17*J41</f>
        <v>3480</v>
      </c>
      <c r="O41" s="8"/>
      <c r="P41" s="177" t="s">
        <v>479</v>
      </c>
      <c r="Q41" s="204">
        <f t="shared" si="3"/>
        <v>82</v>
      </c>
      <c r="R41" s="223">
        <f t="shared" si="3"/>
        <v>2408</v>
      </c>
      <c r="S41" s="223">
        <f t="shared" si="3"/>
        <v>68.904201856529994</v>
      </c>
      <c r="T41" s="223">
        <f t="shared" si="3"/>
        <v>28.042272679711207</v>
      </c>
      <c r="U41" s="521">
        <f>SUM(Q41:T41)</f>
        <v>2586.9464745362411</v>
      </c>
      <c r="V41" s="8"/>
      <c r="W41" s="2" t="s">
        <v>554</v>
      </c>
      <c r="X41" s="205">
        <f t="shared" si="0"/>
        <v>3480</v>
      </c>
      <c r="Y41" s="205">
        <f>U41</f>
        <v>2586.9464745362411</v>
      </c>
      <c r="Z41" s="205">
        <f t="shared" si="1"/>
        <v>6066.9464745362411</v>
      </c>
      <c r="AA41" s="126"/>
    </row>
    <row r="42" spans="1:28" x14ac:dyDescent="0.35">
      <c r="A42" s="385" t="s">
        <v>1208</v>
      </c>
      <c r="B42" s="234"/>
      <c r="C42" s="34"/>
      <c r="D42" s="235"/>
      <c r="E42" s="36">
        <f>B42*D42</f>
        <v>0</v>
      </c>
      <c r="F42" s="580" t="s">
        <v>1192</v>
      </c>
      <c r="H42" s="124"/>
      <c r="I42" s="124"/>
      <c r="J42" s="193"/>
      <c r="K42" s="126"/>
      <c r="L42" s="8"/>
      <c r="M42" s="124"/>
      <c r="N42" s="181"/>
      <c r="O42" s="8"/>
      <c r="P42" s="177"/>
      <c r="Q42" s="185"/>
      <c r="R42" s="186"/>
      <c r="S42" s="186"/>
      <c r="T42" s="186"/>
      <c r="U42" s="522"/>
      <c r="V42" s="8"/>
      <c r="W42" s="2"/>
      <c r="X42" s="182"/>
      <c r="Y42" s="2"/>
      <c r="Z42" s="2"/>
      <c r="AA42" s="126"/>
    </row>
    <row r="43" spans="1:28" ht="15" thickBot="1" x14ac:dyDescent="0.4">
      <c r="A43" s="386"/>
      <c r="B43" s="33"/>
      <c r="C43" s="34"/>
      <c r="D43" s="35"/>
      <c r="E43" s="36"/>
      <c r="F43" s="580"/>
      <c r="H43" s="124"/>
      <c r="I43" s="178" t="s">
        <v>440</v>
      </c>
      <c r="J43" s="198">
        <f>SUM(J38:J41)</f>
        <v>159.28333333333333</v>
      </c>
      <c r="K43" s="129" t="s">
        <v>432</v>
      </c>
      <c r="L43" s="8"/>
      <c r="M43" s="178" t="s">
        <v>439</v>
      </c>
      <c r="N43" s="201">
        <f>$E$15*$H$17*J43</f>
        <v>16629180</v>
      </c>
      <c r="O43" s="8"/>
      <c r="P43" s="395" t="s">
        <v>470</v>
      </c>
      <c r="Q43" s="523">
        <f>SUM(Q38:Q41)</f>
        <v>391837</v>
      </c>
      <c r="R43" s="524">
        <f>SUM(R38:R41)</f>
        <v>11506628</v>
      </c>
      <c r="S43" s="524">
        <f>SUM(S38:S41)</f>
        <v>329258.72857142863</v>
      </c>
      <c r="T43" s="524">
        <f>SUM(T38:T41)</f>
        <v>134000</v>
      </c>
      <c r="U43" s="526">
        <f>SUM(Q43:T43)</f>
        <v>12361723.728571428</v>
      </c>
      <c r="V43" s="8"/>
      <c r="W43" s="4" t="s">
        <v>555</v>
      </c>
      <c r="X43" s="208">
        <f>SUM(X38:X41)</f>
        <v>16629180</v>
      </c>
      <c r="Y43" s="208">
        <f>SUM(Y38:Y41)</f>
        <v>12361723.728571426</v>
      </c>
      <c r="Z43" s="208">
        <f>SUM(Z38:Z41)</f>
        <v>28990903.728571426</v>
      </c>
      <c r="AA43" s="126"/>
    </row>
    <row r="44" spans="1:28" x14ac:dyDescent="0.35">
      <c r="A44" s="341" t="s">
        <v>56</v>
      </c>
      <c r="B44" s="33"/>
      <c r="C44" s="34"/>
      <c r="D44" s="35"/>
      <c r="E44" s="30">
        <f>E39+E40</f>
        <v>156.85714285714286</v>
      </c>
      <c r="F44" s="420" t="s">
        <v>149</v>
      </c>
      <c r="H44" s="124"/>
      <c r="I44" s="8"/>
      <c r="J44" s="8"/>
      <c r="K44" s="8"/>
      <c r="L44" s="8"/>
      <c r="M44" s="8"/>
      <c r="N44" s="8"/>
      <c r="O44" s="8"/>
      <c r="P44" s="8"/>
      <c r="Q44" s="8"/>
      <c r="R44" s="8"/>
      <c r="S44" s="8"/>
      <c r="T44" s="8"/>
      <c r="U44" s="8"/>
      <c r="V44" s="8"/>
      <c r="W44" s="8"/>
      <c r="X44" s="8"/>
      <c r="Y44" s="8"/>
      <c r="Z44" s="8"/>
      <c r="AA44" s="126"/>
    </row>
    <row r="45" spans="1:28" ht="15" thickBot="1" x14ac:dyDescent="0.4">
      <c r="A45" s="284" t="s">
        <v>38</v>
      </c>
      <c r="B45" s="387"/>
      <c r="C45" s="388"/>
      <c r="D45" s="389"/>
      <c r="E45" s="289">
        <f>E36+E37+E41+E42</f>
        <v>7606.85</v>
      </c>
      <c r="F45" s="506" t="s">
        <v>1192</v>
      </c>
      <c r="H45" s="124"/>
      <c r="I45" s="9"/>
      <c r="J45" s="9"/>
      <c r="K45" s="9"/>
      <c r="L45" s="8"/>
      <c r="M45" s="9"/>
      <c r="N45" s="9"/>
      <c r="O45" s="8"/>
      <c r="P45" s="8"/>
      <c r="Q45" s="8"/>
      <c r="R45" s="8"/>
      <c r="S45" s="8"/>
      <c r="T45" s="8"/>
      <c r="U45" s="184"/>
      <c r="V45" s="8"/>
      <c r="W45" s="8"/>
      <c r="X45" s="8"/>
      <c r="Y45" s="8"/>
      <c r="Z45" s="8"/>
      <c r="AA45" s="126"/>
      <c r="AB45" s="8"/>
    </row>
    <row r="46" spans="1:28" ht="15" thickBot="1" x14ac:dyDescent="0.4">
      <c r="A46" s="242"/>
      <c r="B46" s="390"/>
      <c r="C46" s="391"/>
      <c r="D46" s="392"/>
      <c r="E46" s="393"/>
      <c r="H46" s="190"/>
      <c r="I46" s="8"/>
      <c r="J46" s="191"/>
      <c r="K46" s="8"/>
      <c r="L46" s="9"/>
      <c r="M46" s="8"/>
      <c r="N46" s="192"/>
      <c r="O46" s="8"/>
      <c r="P46" s="8"/>
      <c r="Q46" s="8"/>
      <c r="R46" s="8"/>
      <c r="S46" s="8"/>
      <c r="T46" s="8"/>
      <c r="U46" s="8"/>
      <c r="V46" s="8"/>
      <c r="W46" s="8"/>
      <c r="X46" s="8"/>
      <c r="Y46" s="8"/>
      <c r="Z46" s="8"/>
      <c r="AA46" s="126"/>
    </row>
    <row r="47" spans="1:28" x14ac:dyDescent="0.35">
      <c r="A47" s="394" t="s">
        <v>31</v>
      </c>
      <c r="B47" s="378" t="s">
        <v>28</v>
      </c>
      <c r="C47" s="278" t="s">
        <v>29</v>
      </c>
      <c r="D47" s="278" t="s">
        <v>65</v>
      </c>
      <c r="E47" s="279" t="s">
        <v>30</v>
      </c>
      <c r="F47" s="379" t="s">
        <v>29</v>
      </c>
      <c r="H47" s="124"/>
      <c r="I47" s="8"/>
      <c r="J47" s="8"/>
      <c r="K47" s="8"/>
      <c r="L47" s="8"/>
      <c r="M47" s="8"/>
      <c r="N47" s="192"/>
      <c r="O47" s="8"/>
      <c r="P47" s="8"/>
      <c r="Q47" s="8"/>
      <c r="R47" s="8"/>
      <c r="S47" s="8"/>
      <c r="T47" s="8"/>
      <c r="U47" s="8"/>
      <c r="V47" s="8"/>
      <c r="W47" s="8"/>
      <c r="X47" s="8"/>
      <c r="Y47" s="8"/>
      <c r="Z47" s="8"/>
      <c r="AA47" s="126"/>
    </row>
    <row r="48" spans="1:28" x14ac:dyDescent="0.35">
      <c r="A48" s="380"/>
      <c r="B48" s="33"/>
      <c r="C48" s="34"/>
      <c r="D48" s="35"/>
      <c r="E48" s="36"/>
      <c r="F48" s="125"/>
      <c r="H48" s="124"/>
      <c r="I48" s="8"/>
      <c r="J48" s="8"/>
      <c r="K48" s="8"/>
      <c r="L48" s="8"/>
      <c r="M48" s="8"/>
      <c r="N48" s="8"/>
      <c r="O48" s="8"/>
      <c r="P48" s="8" t="s">
        <v>467</v>
      </c>
      <c r="Q48" s="8"/>
      <c r="R48" s="8"/>
      <c r="S48" s="8"/>
      <c r="T48" s="8"/>
      <c r="U48" s="8"/>
      <c r="V48" s="8"/>
      <c r="W48" s="8"/>
      <c r="X48" s="8"/>
      <c r="Y48" s="8"/>
      <c r="Z48" s="8"/>
      <c r="AA48" s="126"/>
    </row>
    <row r="49" spans="1:27" ht="29.5" thickBot="1" x14ac:dyDescent="0.4">
      <c r="A49" s="380" t="s">
        <v>54</v>
      </c>
      <c r="B49" s="37"/>
      <c r="C49" s="38" t="s">
        <v>45</v>
      </c>
      <c r="D49" s="235">
        <v>2000</v>
      </c>
      <c r="E49" s="36"/>
      <c r="F49" s="580"/>
      <c r="H49" s="127"/>
      <c r="I49" s="133"/>
      <c r="J49" s="133"/>
      <c r="K49" s="133"/>
      <c r="L49" s="133"/>
      <c r="M49" s="133"/>
      <c r="N49" s="133"/>
      <c r="O49" s="133"/>
      <c r="P49" s="133"/>
      <c r="Q49" s="133"/>
      <c r="R49" s="133"/>
      <c r="S49" s="133"/>
      <c r="T49" s="133"/>
      <c r="U49" s="133"/>
      <c r="V49" s="133"/>
      <c r="W49" s="133"/>
      <c r="X49" s="133"/>
      <c r="Y49" s="133"/>
      <c r="Z49" s="133"/>
      <c r="AA49" s="134"/>
    </row>
    <row r="50" spans="1:27" x14ac:dyDescent="0.35">
      <c r="A50" s="380" t="s">
        <v>39</v>
      </c>
      <c r="B50" s="234">
        <v>0.47</v>
      </c>
      <c r="C50" s="38" t="s">
        <v>44</v>
      </c>
      <c r="D50" s="35"/>
      <c r="E50" s="36">
        <f>(D49*B50)*(D38+D39+D40)</f>
        <v>2820</v>
      </c>
      <c r="F50" s="580"/>
    </row>
    <row r="51" spans="1:27" x14ac:dyDescent="0.35">
      <c r="A51" s="380" t="s">
        <v>42</v>
      </c>
      <c r="B51" s="234">
        <v>300</v>
      </c>
      <c r="C51" s="38" t="s">
        <v>10</v>
      </c>
      <c r="D51" s="235">
        <v>1</v>
      </c>
      <c r="E51" s="36">
        <f>D51*B51</f>
        <v>300</v>
      </c>
      <c r="F51" s="580" t="s">
        <v>1192</v>
      </c>
    </row>
    <row r="52" spans="1:27" x14ac:dyDescent="0.35">
      <c r="A52" s="380" t="s">
        <v>43</v>
      </c>
      <c r="B52" s="234">
        <v>100</v>
      </c>
      <c r="C52" s="38" t="s">
        <v>10</v>
      </c>
      <c r="D52" s="235">
        <v>1</v>
      </c>
      <c r="E52" s="36">
        <f>D52*B52</f>
        <v>100</v>
      </c>
      <c r="F52" s="580" t="s">
        <v>1192</v>
      </c>
    </row>
    <row r="53" spans="1:27" x14ac:dyDescent="0.35">
      <c r="A53" s="380" t="s">
        <v>47</v>
      </c>
      <c r="B53" s="234">
        <v>130</v>
      </c>
      <c r="C53" s="38" t="s">
        <v>10</v>
      </c>
      <c r="D53" s="235">
        <v>1</v>
      </c>
      <c r="E53" s="36">
        <f>D53*B53</f>
        <v>130</v>
      </c>
      <c r="F53" s="580" t="s">
        <v>1192</v>
      </c>
    </row>
    <row r="54" spans="1:27" x14ac:dyDescent="0.35">
      <c r="A54" s="380"/>
      <c r="B54" s="33"/>
      <c r="C54" s="34"/>
      <c r="D54" s="35"/>
      <c r="E54" s="36"/>
      <c r="F54" s="580"/>
    </row>
    <row r="55" spans="1:27" x14ac:dyDescent="0.35">
      <c r="A55" s="341" t="s">
        <v>476</v>
      </c>
      <c r="B55" s="33"/>
      <c r="C55" s="34"/>
      <c r="D55" s="35"/>
      <c r="E55" s="30">
        <f>SUM(E50:E53)</f>
        <v>3350</v>
      </c>
      <c r="F55" s="420" t="s">
        <v>1192</v>
      </c>
    </row>
    <row r="56" spans="1:27" ht="15" thickBot="1" x14ac:dyDescent="0.4">
      <c r="A56" s="395"/>
      <c r="B56" s="387"/>
      <c r="C56" s="336"/>
      <c r="D56" s="336"/>
      <c r="E56" s="396"/>
      <c r="F56" s="129"/>
    </row>
    <row r="57" spans="1:27" ht="43.5" x14ac:dyDescent="0.35">
      <c r="A57" s="12" t="s">
        <v>79</v>
      </c>
      <c r="B57" s="39"/>
      <c r="C57" s="40"/>
      <c r="D57" s="40"/>
      <c r="E57" s="41"/>
    </row>
    <row r="58" spans="1:27" x14ac:dyDescent="0.35">
      <c r="A58" s="9"/>
      <c r="B58" s="39"/>
      <c r="C58" s="40"/>
      <c r="D58" s="40"/>
      <c r="E58" s="41"/>
    </row>
    <row r="59" spans="1:27" x14ac:dyDescent="0.35">
      <c r="A59" s="13" t="s">
        <v>40</v>
      </c>
      <c r="B59" s="42"/>
      <c r="C59" s="42"/>
      <c r="D59" s="42"/>
      <c r="E59" s="43"/>
    </row>
    <row r="60" spans="1:27" ht="29" x14ac:dyDescent="0.35">
      <c r="A60" s="12" t="s">
        <v>35</v>
      </c>
    </row>
    <row r="62" spans="1:27" ht="58" x14ac:dyDescent="0.35">
      <c r="A62" s="12" t="s">
        <v>55</v>
      </c>
    </row>
    <row r="64" spans="1:27" ht="43.5" x14ac:dyDescent="0.35">
      <c r="A64" s="12" t="s">
        <v>53</v>
      </c>
      <c r="F64" s="17"/>
      <c r="G64" s="14"/>
      <c r="H64" s="14"/>
      <c r="I64" s="18"/>
    </row>
    <row r="65" spans="1:9" ht="29" x14ac:dyDescent="0.35">
      <c r="F65" s="553" t="s">
        <v>880</v>
      </c>
      <c r="G65" s="8" t="s">
        <v>49</v>
      </c>
      <c r="H65" s="8" t="s">
        <v>50</v>
      </c>
      <c r="I65" s="20"/>
    </row>
    <row r="66" spans="1:9" ht="87" x14ac:dyDescent="0.35">
      <c r="A66" s="12" t="s">
        <v>1239</v>
      </c>
      <c r="F66" s="19" t="s">
        <v>48</v>
      </c>
      <c r="G66" s="8">
        <v>24</v>
      </c>
      <c r="H66" s="8">
        <f t="shared" ref="H66:H83" si="4">G66*F67</f>
        <v>5520</v>
      </c>
      <c r="I66" s="20"/>
    </row>
    <row r="67" spans="1:9" x14ac:dyDescent="0.35">
      <c r="F67" s="19">
        <v>230</v>
      </c>
      <c r="G67" s="8">
        <v>24</v>
      </c>
      <c r="H67" s="8">
        <f t="shared" si="4"/>
        <v>5520</v>
      </c>
      <c r="I67" s="20"/>
    </row>
    <row r="68" spans="1:9" ht="58" x14ac:dyDescent="0.35">
      <c r="A68" s="12" t="s">
        <v>881</v>
      </c>
      <c r="F68" s="19">
        <v>230</v>
      </c>
      <c r="G68" s="8">
        <v>40</v>
      </c>
      <c r="H68" s="8">
        <f t="shared" si="4"/>
        <v>4000</v>
      </c>
      <c r="I68" s="20"/>
    </row>
    <row r="69" spans="1:9" x14ac:dyDescent="0.35">
      <c r="F69" s="19">
        <v>100</v>
      </c>
      <c r="G69" s="8">
        <v>40</v>
      </c>
      <c r="H69" s="8">
        <f t="shared" si="4"/>
        <v>4000</v>
      </c>
      <c r="I69" s="20"/>
    </row>
    <row r="70" spans="1:9" x14ac:dyDescent="0.35">
      <c r="F70" s="19">
        <v>100</v>
      </c>
      <c r="G70" s="8">
        <v>24</v>
      </c>
      <c r="H70" s="8">
        <f t="shared" si="4"/>
        <v>1680</v>
      </c>
      <c r="I70" s="20"/>
    </row>
    <row r="71" spans="1:9" x14ac:dyDescent="0.35">
      <c r="F71" s="19">
        <v>70</v>
      </c>
      <c r="G71" s="8">
        <v>24</v>
      </c>
      <c r="H71" s="8">
        <f t="shared" si="4"/>
        <v>1680</v>
      </c>
      <c r="I71" s="20"/>
    </row>
    <row r="72" spans="1:9" x14ac:dyDescent="0.35">
      <c r="F72" s="19">
        <v>70</v>
      </c>
      <c r="G72" s="8">
        <v>70</v>
      </c>
      <c r="H72" s="8">
        <f t="shared" si="4"/>
        <v>2800</v>
      </c>
      <c r="I72" s="20"/>
    </row>
    <row r="73" spans="1:9" x14ac:dyDescent="0.35">
      <c r="F73" s="19">
        <v>40</v>
      </c>
      <c r="G73" s="8">
        <v>70</v>
      </c>
      <c r="H73" s="8">
        <f t="shared" si="4"/>
        <v>2800</v>
      </c>
      <c r="I73" s="20"/>
    </row>
    <row r="74" spans="1:9" x14ac:dyDescent="0.35">
      <c r="F74" s="19">
        <v>40</v>
      </c>
      <c r="G74" s="8">
        <v>70</v>
      </c>
      <c r="H74" s="8">
        <f t="shared" si="4"/>
        <v>16100</v>
      </c>
      <c r="I74" s="20"/>
    </row>
    <row r="75" spans="1:9" x14ac:dyDescent="0.35">
      <c r="F75" s="19">
        <v>230</v>
      </c>
      <c r="G75" s="8">
        <v>70</v>
      </c>
      <c r="H75" s="8">
        <f t="shared" si="4"/>
        <v>16100</v>
      </c>
      <c r="I75" s="20"/>
    </row>
    <row r="76" spans="1:9" x14ac:dyDescent="0.35">
      <c r="F76" s="19">
        <v>230</v>
      </c>
      <c r="G76" s="8">
        <v>20</v>
      </c>
      <c r="H76" s="8">
        <f t="shared" si="4"/>
        <v>1440</v>
      </c>
      <c r="I76" s="20"/>
    </row>
    <row r="77" spans="1:9" x14ac:dyDescent="0.35">
      <c r="F77" s="19">
        <v>72</v>
      </c>
      <c r="G77" s="8">
        <v>20</v>
      </c>
      <c r="H77" s="8">
        <f t="shared" si="4"/>
        <v>1440</v>
      </c>
      <c r="I77" s="20"/>
    </row>
    <row r="78" spans="1:9" x14ac:dyDescent="0.35">
      <c r="F78" s="19">
        <v>72</v>
      </c>
      <c r="G78" s="8">
        <v>20</v>
      </c>
      <c r="H78" s="8">
        <f t="shared" si="4"/>
        <v>1400</v>
      </c>
      <c r="I78" s="20"/>
    </row>
    <row r="79" spans="1:9" x14ac:dyDescent="0.35">
      <c r="F79" s="19">
        <v>70</v>
      </c>
      <c r="G79" s="8">
        <v>20</v>
      </c>
      <c r="H79" s="8">
        <f t="shared" si="4"/>
        <v>1400</v>
      </c>
      <c r="I79" s="20"/>
    </row>
    <row r="80" spans="1:9" x14ac:dyDescent="0.35">
      <c r="F80" s="19">
        <v>70</v>
      </c>
      <c r="G80" s="8">
        <v>10</v>
      </c>
      <c r="H80" s="8">
        <f t="shared" si="4"/>
        <v>6283.18</v>
      </c>
      <c r="I80" s="20"/>
    </row>
    <row r="81" spans="1:9" x14ac:dyDescent="0.35">
      <c r="F81" s="19">
        <f>(10^2)*3.14159*2</f>
        <v>628.31799999999998</v>
      </c>
      <c r="G81" s="8">
        <v>10</v>
      </c>
      <c r="H81" s="8">
        <f t="shared" si="4"/>
        <v>6283.18</v>
      </c>
      <c r="I81" s="20"/>
    </row>
    <row r="82" spans="1:9" x14ac:dyDescent="0.35">
      <c r="F82" s="19">
        <f>(10^2)*3.14159*2</f>
        <v>628.31799999999998</v>
      </c>
      <c r="G82" s="8">
        <v>10</v>
      </c>
      <c r="H82" s="8">
        <f t="shared" si="4"/>
        <v>6283.18</v>
      </c>
      <c r="I82" s="20"/>
    </row>
    <row r="83" spans="1:9" x14ac:dyDescent="0.35">
      <c r="F83" s="19">
        <f>(10^2)*3.14159*2</f>
        <v>628.31799999999998</v>
      </c>
      <c r="G83" s="8">
        <v>10</v>
      </c>
      <c r="H83" s="8">
        <f t="shared" si="4"/>
        <v>6283.18</v>
      </c>
      <c r="I83" s="20"/>
    </row>
    <row r="84" spans="1:9" x14ac:dyDescent="0.35">
      <c r="F84" s="19">
        <f>(10^2)*3.14159*2</f>
        <v>628.31799999999998</v>
      </c>
      <c r="G84" s="8"/>
      <c r="H84" s="8"/>
      <c r="I84" s="20"/>
    </row>
    <row r="85" spans="1:9" x14ac:dyDescent="0.35">
      <c r="F85" s="19" t="s">
        <v>51</v>
      </c>
      <c r="G85" s="8"/>
      <c r="H85" s="8">
        <f>SUM(H66:H83)</f>
        <v>91012.719999999972</v>
      </c>
      <c r="I85" s="20" t="s">
        <v>52</v>
      </c>
    </row>
    <row r="86" spans="1:9" x14ac:dyDescent="0.35">
      <c r="F86" s="21"/>
      <c r="G86" s="22"/>
      <c r="H86" s="22">
        <f>H85/144</f>
        <v>632.0327777777776</v>
      </c>
      <c r="I86" s="23" t="s">
        <v>46</v>
      </c>
    </row>
    <row r="92" spans="1:9" x14ac:dyDescent="0.35">
      <c r="A92" s="26"/>
      <c r="B92"/>
      <c r="C92"/>
      <c r="D92"/>
      <c r="E92"/>
    </row>
    <row r="93" spans="1:9" x14ac:dyDescent="0.35">
      <c r="A93" s="26"/>
      <c r="B93"/>
      <c r="C93"/>
      <c r="D93"/>
      <c r="E93"/>
    </row>
    <row r="94" spans="1:9" x14ac:dyDescent="0.35">
      <c r="A94" s="26"/>
      <c r="B94"/>
      <c r="C94"/>
      <c r="D94"/>
      <c r="E94"/>
    </row>
    <row r="95" spans="1:9" x14ac:dyDescent="0.35">
      <c r="A95" s="26"/>
      <c r="B95"/>
      <c r="C95"/>
      <c r="D95"/>
      <c r="E95"/>
    </row>
    <row r="96" spans="1:9" x14ac:dyDescent="0.35">
      <c r="A96" s="26"/>
      <c r="B96"/>
      <c r="C96"/>
      <c r="D96"/>
      <c r="E96"/>
    </row>
    <row r="97" spans="1:5" x14ac:dyDescent="0.35">
      <c r="A97" s="26"/>
      <c r="B97"/>
      <c r="C97"/>
      <c r="D97"/>
      <c r="E97"/>
    </row>
    <row r="98" spans="1:5" x14ac:dyDescent="0.35">
      <c r="A98" s="26"/>
      <c r="B98"/>
      <c r="C98"/>
      <c r="D98"/>
      <c r="E98"/>
    </row>
    <row r="99" spans="1:5" x14ac:dyDescent="0.35">
      <c r="A99" s="26"/>
      <c r="B99"/>
      <c r="C99"/>
      <c r="D99"/>
      <c r="E99"/>
    </row>
    <row r="100" spans="1:5" x14ac:dyDescent="0.35">
      <c r="A100" s="26"/>
      <c r="B100"/>
      <c r="C100"/>
      <c r="D100"/>
      <c r="E100"/>
    </row>
    <row r="101" spans="1:5" x14ac:dyDescent="0.35">
      <c r="A101" s="26"/>
      <c r="B101"/>
      <c r="C101"/>
      <c r="D101"/>
      <c r="E101"/>
    </row>
    <row r="102" spans="1:5" x14ac:dyDescent="0.35">
      <c r="A102" s="26"/>
      <c r="B102"/>
      <c r="C102"/>
      <c r="D102"/>
      <c r="E102"/>
    </row>
    <row r="103" spans="1:5" x14ac:dyDescent="0.35">
      <c r="A103" s="26"/>
      <c r="B103"/>
      <c r="C103"/>
      <c r="D103"/>
      <c r="E103"/>
    </row>
    <row r="104" spans="1:5" x14ac:dyDescent="0.35">
      <c r="A104" s="26"/>
      <c r="B104"/>
      <c r="C104"/>
      <c r="D104"/>
      <c r="E104"/>
    </row>
    <row r="105" spans="1:5" x14ac:dyDescent="0.35">
      <c r="A105" s="26"/>
      <c r="B105"/>
      <c r="C105"/>
      <c r="D105"/>
      <c r="E105"/>
    </row>
    <row r="106" spans="1:5" x14ac:dyDescent="0.35">
      <c r="A106" s="26"/>
      <c r="B106"/>
      <c r="C106"/>
      <c r="D106"/>
      <c r="E106"/>
    </row>
    <row r="107" spans="1:5" x14ac:dyDescent="0.35">
      <c r="A107" s="26"/>
      <c r="B107"/>
      <c r="C107"/>
      <c r="D107"/>
      <c r="E107"/>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99"/>
  <sheetViews>
    <sheetView topLeftCell="A4" zoomScaleNormal="100" workbookViewId="0">
      <selection activeCell="E78" sqref="E78"/>
    </sheetView>
  </sheetViews>
  <sheetFormatPr defaultRowHeight="14.5" x14ac:dyDescent="0.35"/>
  <cols>
    <col min="1" max="1" width="50.54296875" customWidth="1"/>
    <col min="2" max="2" width="14" customWidth="1"/>
    <col min="3" max="3" width="20.36328125" style="26" bestFit="1" customWidth="1"/>
    <col min="4" max="4" width="11.54296875" style="26" bestFit="1" customWidth="1"/>
    <col min="5" max="5" width="20.453125" style="26" bestFit="1" customWidth="1"/>
    <col min="6" max="6" width="15.6328125" customWidth="1"/>
    <col min="7" max="7" width="21.6328125" customWidth="1"/>
    <col min="8" max="8" width="13.36328125" customWidth="1"/>
    <col min="10" max="10" width="50" customWidth="1"/>
    <col min="11" max="11" width="16.6328125" customWidth="1"/>
    <col min="12" max="12" width="8.453125" customWidth="1"/>
    <col min="13" max="13" width="8.08984375" customWidth="1"/>
    <col min="14" max="14" width="52.90625" customWidth="1"/>
    <col min="15" max="15" width="16" customWidth="1"/>
    <col min="17" max="17" width="49.453125" customWidth="1"/>
    <col min="18" max="18" width="15.54296875" customWidth="1"/>
    <col min="19" max="19" width="22.08984375" customWidth="1"/>
    <col min="20" max="20" width="22.54296875" customWidth="1"/>
    <col min="21" max="21" width="16.6328125" customWidth="1"/>
    <col min="22" max="22" width="16.453125" customWidth="1"/>
    <col min="24" max="24" width="41.36328125" customWidth="1"/>
    <col min="25" max="25" width="18.36328125" customWidth="1"/>
    <col min="26" max="26" width="19.453125" customWidth="1"/>
    <col min="27" max="27" width="13.90625" customWidth="1"/>
  </cols>
  <sheetData>
    <row r="1" spans="1:28" ht="21.5" thickBot="1" x14ac:dyDescent="0.55000000000000004">
      <c r="A1" s="70" t="s">
        <v>139</v>
      </c>
    </row>
    <row r="3" spans="1:28" x14ac:dyDescent="0.35">
      <c r="A3" t="s">
        <v>77</v>
      </c>
    </row>
    <row r="4" spans="1:28" x14ac:dyDescent="0.35">
      <c r="A4" t="s">
        <v>1242</v>
      </c>
    </row>
    <row r="5" spans="1:28" x14ac:dyDescent="0.35">
      <c r="D5" s="104"/>
      <c r="E5" s="104"/>
      <c r="F5" s="8"/>
      <c r="G5" s="8"/>
    </row>
    <row r="6" spans="1:28" ht="15" thickBot="1" x14ac:dyDescent="0.4">
      <c r="A6" s="8"/>
      <c r="B6" s="8"/>
      <c r="C6" s="104"/>
      <c r="D6" s="104"/>
      <c r="E6" s="104"/>
      <c r="F6" s="555"/>
      <c r="G6" s="555"/>
    </row>
    <row r="7" spans="1:28" x14ac:dyDescent="0.35">
      <c r="A7" s="277" t="s">
        <v>3</v>
      </c>
      <c r="B7" s="278" t="s">
        <v>28</v>
      </c>
      <c r="C7" s="278" t="s">
        <v>29</v>
      </c>
      <c r="D7" s="278" t="s">
        <v>65</v>
      </c>
      <c r="E7" s="278" t="s">
        <v>29</v>
      </c>
      <c r="F7" s="571" t="s">
        <v>30</v>
      </c>
      <c r="G7" s="398" t="s">
        <v>150</v>
      </c>
    </row>
    <row r="8" spans="1:28" x14ac:dyDescent="0.35">
      <c r="A8" s="177" t="s">
        <v>4</v>
      </c>
      <c r="B8" s="8"/>
      <c r="C8" s="11"/>
      <c r="D8" s="11"/>
      <c r="E8" s="11"/>
      <c r="F8" s="572"/>
      <c r="G8" s="399"/>
      <c r="I8" s="232"/>
      <c r="J8" t="s">
        <v>34</v>
      </c>
    </row>
    <row r="9" spans="1:28" x14ac:dyDescent="0.35">
      <c r="A9" s="177" t="s">
        <v>385</v>
      </c>
      <c r="B9" s="221">
        <v>47</v>
      </c>
      <c r="C9" s="11" t="s">
        <v>123</v>
      </c>
      <c r="D9" s="220">
        <v>2</v>
      </c>
      <c r="E9" s="60" t="s">
        <v>116</v>
      </c>
      <c r="F9" s="572">
        <f>D9*B9*$D$13</f>
        <v>1128</v>
      </c>
      <c r="G9" s="577" t="s">
        <v>149</v>
      </c>
    </row>
    <row r="10" spans="1:28" x14ac:dyDescent="0.35">
      <c r="A10" s="177" t="s">
        <v>6</v>
      </c>
      <c r="B10" s="221">
        <v>47</v>
      </c>
      <c r="C10" s="11" t="s">
        <v>123</v>
      </c>
      <c r="D10" s="220">
        <v>2</v>
      </c>
      <c r="E10" s="60" t="s">
        <v>116</v>
      </c>
      <c r="F10" s="572">
        <f>D10*B10*$D$13</f>
        <v>1128</v>
      </c>
      <c r="G10" s="577" t="s">
        <v>149</v>
      </c>
      <c r="I10" s="25"/>
      <c r="J10" t="s">
        <v>106</v>
      </c>
    </row>
    <row r="11" spans="1:28" x14ac:dyDescent="0.35">
      <c r="A11" s="177" t="s">
        <v>386</v>
      </c>
      <c r="B11" s="221">
        <v>35</v>
      </c>
      <c r="C11" s="11" t="s">
        <v>123</v>
      </c>
      <c r="D11" s="220">
        <v>4</v>
      </c>
      <c r="E11" s="60" t="s">
        <v>116</v>
      </c>
      <c r="F11" s="572">
        <f>D11*B11*$D$13</f>
        <v>1680</v>
      </c>
      <c r="G11" s="577" t="s">
        <v>149</v>
      </c>
    </row>
    <row r="12" spans="1:28" x14ac:dyDescent="0.35">
      <c r="A12" s="177" t="s">
        <v>32</v>
      </c>
      <c r="B12" s="221">
        <v>35</v>
      </c>
      <c r="C12" s="11" t="s">
        <v>123</v>
      </c>
      <c r="D12" s="220">
        <v>8</v>
      </c>
      <c r="E12" s="60" t="s">
        <v>116</v>
      </c>
      <c r="F12" s="572">
        <f>D12*B12*$D$13</f>
        <v>3360</v>
      </c>
      <c r="G12" s="577" t="s">
        <v>149</v>
      </c>
      <c r="I12" s="195"/>
      <c r="J12" t="s">
        <v>66</v>
      </c>
    </row>
    <row r="13" spans="1:28" ht="15" thickBot="1" x14ac:dyDescent="0.4">
      <c r="A13" s="341" t="s">
        <v>115</v>
      </c>
      <c r="B13" s="5"/>
      <c r="C13" s="11"/>
      <c r="D13" s="220">
        <v>12</v>
      </c>
      <c r="E13" s="60" t="s">
        <v>118</v>
      </c>
      <c r="F13" s="575">
        <f>D13</f>
        <v>12</v>
      </c>
      <c r="G13" s="549" t="s">
        <v>118</v>
      </c>
    </row>
    <row r="14" spans="1:28" x14ac:dyDescent="0.35">
      <c r="A14" s="299" t="s">
        <v>162</v>
      </c>
      <c r="B14" s="221">
        <v>123</v>
      </c>
      <c r="C14" s="11" t="s">
        <v>157</v>
      </c>
      <c r="D14" s="230">
        <f>SUM(D9:D12)</f>
        <v>16</v>
      </c>
      <c r="E14" s="75" t="s">
        <v>116</v>
      </c>
      <c r="F14" s="573">
        <f>D14*B14</f>
        <v>1968</v>
      </c>
      <c r="G14" s="577" t="s">
        <v>149</v>
      </c>
      <c r="I14" s="137"/>
      <c r="J14" s="131"/>
      <c r="K14" s="131"/>
      <c r="L14" s="131"/>
      <c r="M14" s="131"/>
      <c r="N14" s="131"/>
      <c r="O14" s="131"/>
      <c r="P14" s="131"/>
      <c r="Q14" s="131"/>
      <c r="R14" s="131"/>
      <c r="S14" s="131"/>
      <c r="T14" s="131"/>
      <c r="U14" s="131"/>
      <c r="V14" s="131"/>
      <c r="W14" s="131"/>
      <c r="X14" s="131"/>
      <c r="Y14" s="131"/>
      <c r="Z14" s="131"/>
      <c r="AA14" s="131"/>
      <c r="AB14" s="132"/>
    </row>
    <row r="15" spans="1:28" x14ac:dyDescent="0.35">
      <c r="A15" s="177"/>
      <c r="B15" s="1"/>
      <c r="C15" s="11"/>
      <c r="D15" s="11"/>
      <c r="E15" s="11"/>
      <c r="F15" s="572"/>
      <c r="G15" s="577"/>
      <c r="I15" s="124" t="s">
        <v>514</v>
      </c>
      <c r="J15" s="8"/>
      <c r="K15" s="8"/>
      <c r="L15" s="8"/>
      <c r="M15" s="8"/>
      <c r="N15" s="8"/>
      <c r="O15" s="8"/>
      <c r="P15" s="8"/>
      <c r="Q15" s="8"/>
      <c r="R15" s="8"/>
      <c r="S15" s="8"/>
      <c r="T15" s="8"/>
      <c r="U15" s="8"/>
      <c r="V15" s="8"/>
      <c r="W15" s="8"/>
      <c r="X15" s="8"/>
      <c r="Y15" s="8"/>
      <c r="Z15" s="8"/>
      <c r="AA15" s="8"/>
      <c r="AB15" s="126"/>
    </row>
    <row r="16" spans="1:28" ht="15" thickBot="1" x14ac:dyDescent="0.4">
      <c r="A16" s="284" t="s">
        <v>92</v>
      </c>
      <c r="B16" s="400"/>
      <c r="C16" s="286"/>
      <c r="D16" s="306"/>
      <c r="E16" s="306"/>
      <c r="F16" s="574">
        <f>SUM(F9:F14)</f>
        <v>9276</v>
      </c>
      <c r="G16" s="577" t="s">
        <v>149</v>
      </c>
      <c r="I16" s="124"/>
      <c r="J16" s="8"/>
      <c r="K16" s="8"/>
      <c r="L16" s="8"/>
      <c r="M16" s="8"/>
      <c r="N16" s="8"/>
      <c r="O16" s="8"/>
      <c r="P16" s="8"/>
      <c r="Q16" s="8"/>
      <c r="R16" s="8"/>
      <c r="S16" s="8"/>
      <c r="T16" s="8"/>
      <c r="U16" s="8"/>
      <c r="V16" s="8"/>
      <c r="W16" s="8"/>
      <c r="X16" s="8"/>
      <c r="Y16" s="8"/>
      <c r="Z16" s="8"/>
      <c r="AA16" s="8"/>
      <c r="AB16" s="126"/>
    </row>
    <row r="17" spans="1:28" ht="15" thickBot="1" x14ac:dyDescent="0.4">
      <c r="A17" s="319"/>
      <c r="B17" s="401"/>
      <c r="C17" s="294"/>
      <c r="D17" s="293"/>
      <c r="E17" s="293"/>
      <c r="F17" s="402"/>
      <c r="G17" s="192"/>
      <c r="I17" s="233">
        <v>40</v>
      </c>
      <c r="J17" s="256" t="s">
        <v>481</v>
      </c>
      <c r="K17" s="8"/>
      <c r="L17" s="8"/>
      <c r="M17" s="8"/>
      <c r="N17" s="8"/>
      <c r="O17" s="8"/>
      <c r="P17" s="8"/>
      <c r="Q17" s="8"/>
      <c r="R17" s="8"/>
      <c r="S17" s="8"/>
      <c r="T17" s="8"/>
      <c r="U17" s="8"/>
      <c r="V17" s="8"/>
      <c r="W17" s="8"/>
      <c r="X17" s="8"/>
      <c r="Y17" s="8"/>
      <c r="Z17" s="8"/>
      <c r="AA17" s="8"/>
      <c r="AB17" s="126"/>
    </row>
    <row r="18" spans="1:28" x14ac:dyDescent="0.35">
      <c r="A18" s="403" t="s">
        <v>601</v>
      </c>
      <c r="B18" s="278" t="s">
        <v>28</v>
      </c>
      <c r="C18" s="278" t="s">
        <v>29</v>
      </c>
      <c r="D18" s="278" t="s">
        <v>65</v>
      </c>
      <c r="E18" s="278" t="s">
        <v>29</v>
      </c>
      <c r="F18" s="571" t="s">
        <v>30</v>
      </c>
      <c r="G18" s="398" t="s">
        <v>150</v>
      </c>
      <c r="I18" s="233">
        <v>150</v>
      </c>
      <c r="J18" s="256" t="s">
        <v>482</v>
      </c>
      <c r="K18" s="8"/>
      <c r="L18" s="8"/>
      <c r="M18" s="8"/>
      <c r="N18" s="8"/>
      <c r="O18" s="8"/>
      <c r="P18" s="8"/>
      <c r="Q18" s="8"/>
      <c r="R18" s="8"/>
      <c r="S18" s="8"/>
      <c r="T18" s="8"/>
      <c r="U18" s="8"/>
      <c r="V18" s="8"/>
      <c r="W18" s="8"/>
      <c r="X18" s="8"/>
      <c r="Y18" s="8"/>
      <c r="Z18" s="8"/>
      <c r="AA18" s="8"/>
      <c r="AB18" s="126"/>
    </row>
    <row r="19" spans="1:28" x14ac:dyDescent="0.35">
      <c r="A19" s="177"/>
      <c r="B19" s="5"/>
      <c r="C19" s="65"/>
      <c r="D19" s="11"/>
      <c r="E19" s="11"/>
      <c r="F19" s="572"/>
      <c r="G19" s="399"/>
      <c r="I19" s="554">
        <v>1</v>
      </c>
      <c r="J19" s="89" t="s">
        <v>556</v>
      </c>
      <c r="K19" s="8"/>
      <c r="L19" s="8"/>
      <c r="M19" s="8"/>
      <c r="N19" s="8"/>
      <c r="O19" s="8"/>
      <c r="P19" s="8"/>
      <c r="Q19" s="8"/>
      <c r="R19" s="8"/>
      <c r="S19" s="8"/>
      <c r="T19" s="8"/>
      <c r="U19" s="8"/>
      <c r="V19" s="8"/>
      <c r="W19" s="8"/>
      <c r="X19" s="8"/>
      <c r="Y19" s="8"/>
      <c r="Z19" s="8"/>
      <c r="AA19" s="8"/>
      <c r="AB19" s="126"/>
    </row>
    <row r="20" spans="1:28" x14ac:dyDescent="0.35">
      <c r="A20" s="177" t="s">
        <v>11</v>
      </c>
      <c r="B20" s="221">
        <v>10.25</v>
      </c>
      <c r="C20" s="65" t="s">
        <v>120</v>
      </c>
      <c r="D20" s="230">
        <f>D14</f>
        <v>16</v>
      </c>
      <c r="E20" s="60" t="s">
        <v>117</v>
      </c>
      <c r="F20" s="572">
        <f>D20*B20</f>
        <v>164</v>
      </c>
      <c r="G20" s="577" t="s">
        <v>149</v>
      </c>
      <c r="I20" s="452"/>
      <c r="J20" s="89"/>
      <c r="K20" s="8"/>
      <c r="L20" s="8"/>
      <c r="M20" s="8"/>
      <c r="N20" s="8"/>
      <c r="O20" s="8"/>
      <c r="P20" s="8"/>
      <c r="Q20" s="8"/>
      <c r="R20" s="8"/>
      <c r="S20" s="8"/>
      <c r="T20" s="8"/>
      <c r="U20" s="8"/>
      <c r="V20" s="8"/>
      <c r="W20" s="8"/>
      <c r="X20" s="8"/>
      <c r="Y20" s="8"/>
      <c r="Z20" s="8"/>
      <c r="AA20" s="8"/>
      <c r="AB20" s="126"/>
    </row>
    <row r="21" spans="1:28" x14ac:dyDescent="0.35">
      <c r="A21" s="341" t="s">
        <v>434</v>
      </c>
      <c r="B21" s="5"/>
      <c r="C21" s="65"/>
      <c r="D21" s="31"/>
      <c r="E21" s="60"/>
      <c r="F21" s="575">
        <f>F20</f>
        <v>164</v>
      </c>
      <c r="G21" s="549" t="s">
        <v>149</v>
      </c>
      <c r="I21" s="124" t="s">
        <v>484</v>
      </c>
      <c r="J21" s="8"/>
      <c r="K21" s="8"/>
      <c r="L21" s="8"/>
      <c r="M21" s="8"/>
      <c r="N21" s="8"/>
      <c r="O21" s="8"/>
      <c r="P21" s="8"/>
      <c r="Q21" s="8"/>
      <c r="R21" s="8"/>
      <c r="S21" s="8"/>
      <c r="T21" s="8"/>
      <c r="U21" s="8"/>
      <c r="V21" s="8"/>
      <c r="W21" s="8"/>
      <c r="X21" s="8"/>
      <c r="Y21" s="8"/>
      <c r="Z21" s="8"/>
      <c r="AA21" s="8"/>
      <c r="AB21" s="126"/>
    </row>
    <row r="22" spans="1:28" x14ac:dyDescent="0.35">
      <c r="A22" s="177"/>
      <c r="B22" s="5"/>
      <c r="C22" s="65"/>
      <c r="D22" s="11"/>
      <c r="E22" s="11"/>
      <c r="F22" s="572"/>
      <c r="G22" s="399"/>
      <c r="I22" s="124" t="s">
        <v>415</v>
      </c>
      <c r="J22" s="8"/>
      <c r="K22" s="8"/>
      <c r="L22" s="8"/>
      <c r="M22" s="8"/>
      <c r="N22" s="8"/>
      <c r="O22" s="8"/>
      <c r="P22" s="8"/>
      <c r="Q22" s="8"/>
      <c r="R22" s="8"/>
      <c r="S22" s="8"/>
      <c r="T22" s="8"/>
      <c r="U22" s="8"/>
      <c r="V22" s="8"/>
      <c r="W22" s="8"/>
      <c r="X22" s="8"/>
      <c r="Y22" s="8"/>
      <c r="Z22" s="8"/>
      <c r="AA22" s="8"/>
      <c r="AB22" s="126"/>
    </row>
    <row r="23" spans="1:28" ht="15" thickBot="1" x14ac:dyDescent="0.4">
      <c r="A23" s="140" t="s">
        <v>80</v>
      </c>
      <c r="B23" s="5"/>
      <c r="C23" s="65"/>
      <c r="D23" s="11"/>
      <c r="E23" s="11"/>
      <c r="F23" s="572"/>
      <c r="G23" s="577"/>
      <c r="I23" s="124"/>
      <c r="J23" s="8"/>
      <c r="K23" s="8"/>
      <c r="L23" s="8"/>
      <c r="M23" s="8"/>
      <c r="N23" s="8"/>
      <c r="O23" s="8"/>
      <c r="P23" s="8"/>
      <c r="Q23" s="8"/>
      <c r="R23" s="211" t="s">
        <v>475</v>
      </c>
      <c r="S23" s="211" t="s">
        <v>501</v>
      </c>
      <c r="T23" s="211" t="s">
        <v>474</v>
      </c>
      <c r="U23" s="211" t="s">
        <v>468</v>
      </c>
      <c r="V23" s="211" t="s">
        <v>30</v>
      </c>
      <c r="W23" s="8"/>
      <c r="X23" s="211" t="s">
        <v>472</v>
      </c>
      <c r="Y23" s="211" t="s">
        <v>473</v>
      </c>
      <c r="Z23" s="211" t="s">
        <v>480</v>
      </c>
      <c r="AA23" s="211" t="s">
        <v>75</v>
      </c>
      <c r="AB23" s="126"/>
    </row>
    <row r="24" spans="1:28" x14ac:dyDescent="0.35">
      <c r="A24" s="405" t="s">
        <v>57</v>
      </c>
      <c r="B24" s="221">
        <v>201.76</v>
      </c>
      <c r="C24" s="65" t="s">
        <v>122</v>
      </c>
      <c r="D24" s="230">
        <f>133*1.5</f>
        <v>199.5</v>
      </c>
      <c r="E24" s="61" t="s">
        <v>119</v>
      </c>
      <c r="F24" s="572">
        <f>D24*(B24/1000)</f>
        <v>40.25112</v>
      </c>
      <c r="G24" s="577" t="s">
        <v>1264</v>
      </c>
      <c r="I24" s="124"/>
      <c r="J24" s="176" t="s">
        <v>485</v>
      </c>
      <c r="K24" s="196">
        <f>(GIS_inputs!C50/(Depopulation!$I$17*Depopulation!$I$18))</f>
        <v>65</v>
      </c>
      <c r="L24" s="123" t="s">
        <v>432</v>
      </c>
      <c r="M24" s="8"/>
      <c r="N24" s="176" t="s">
        <v>493</v>
      </c>
      <c r="O24" s="199">
        <f>$F$16*$I$17*K24</f>
        <v>24117600</v>
      </c>
      <c r="P24" s="8"/>
      <c r="Q24" s="176" t="s">
        <v>502</v>
      </c>
      <c r="R24" s="206">
        <f>($I$17*$F$21*K24)</f>
        <v>426400</v>
      </c>
      <c r="S24" s="519">
        <f>(GIS_inputs!C50)*(IF($I$19=1,$F$25,(IF($I$19=2,$F29,(IF($I$19=3,$F$35,$F$39))))))</f>
        <v>15697936.800000001</v>
      </c>
      <c r="T24" s="519">
        <f>(K24*$F$56*$I$17)+($F$55*$I$17*(K24/$K$39))+((K24/$K$39)*$I$17*(IF($I$19=1,$F$60,(IF($I$19=2,$F$64,(IF($I$19=3,0,$F$72)))))))</f>
        <v>4271690.5714285718</v>
      </c>
      <c r="U24" s="519">
        <f>($F$88*$I$17*(K24/$K$39))</f>
        <v>25199.999999999996</v>
      </c>
      <c r="V24" s="520">
        <f>SUM(R24:U24)</f>
        <v>20421227.371428572</v>
      </c>
      <c r="W24" s="8"/>
      <c r="X24" s="176" t="s">
        <v>526</v>
      </c>
      <c r="Y24" s="527">
        <f>O24</f>
        <v>24117600</v>
      </c>
      <c r="Z24" s="527">
        <f>V24</f>
        <v>20421227.371428572</v>
      </c>
      <c r="AA24" s="520">
        <f>Y24+Z24</f>
        <v>44538827.371428572</v>
      </c>
      <c r="AB24" s="126"/>
    </row>
    <row r="25" spans="1:28" x14ac:dyDescent="0.35">
      <c r="A25" s="341" t="s">
        <v>109</v>
      </c>
      <c r="B25" s="5"/>
      <c r="C25" s="65"/>
      <c r="D25" s="11"/>
      <c r="E25" s="60"/>
      <c r="F25" s="575">
        <f>SUM(F24:F24)</f>
        <v>40.25112</v>
      </c>
      <c r="G25" s="549" t="s">
        <v>1264</v>
      </c>
      <c r="I25" s="124"/>
      <c r="J25" s="177" t="s">
        <v>486</v>
      </c>
      <c r="K25" s="197">
        <f>(GIS_inputs!C51/(Depopulation!$I$17*Depopulation!$I$18))</f>
        <v>0</v>
      </c>
      <c r="L25" s="125" t="s">
        <v>432</v>
      </c>
      <c r="M25" s="8"/>
      <c r="N25" s="177" t="s">
        <v>494</v>
      </c>
      <c r="O25" s="200">
        <f t="shared" ref="O25:O32" si="0">$F$16*$I$17*K25</f>
        <v>0</v>
      </c>
      <c r="P25" s="8"/>
      <c r="Q25" s="177" t="s">
        <v>503</v>
      </c>
      <c r="R25" s="202">
        <f t="shared" ref="R25:R32" si="1">($I$17*$F$21*K25)</f>
        <v>0</v>
      </c>
      <c r="S25" s="203">
        <f>(GIS_inputs!C51)*(IF($I$19=1,$F$25,(IF($I$19=2,$F30,(IF($I$19=3,$F$35,$F$39))))))</f>
        <v>0</v>
      </c>
      <c r="T25" s="204">
        <f>(K25*$F$56*$I$17)+($F$55*$I$17*(K25/$K$39))+((K25/$K$39)*$I$17*(IF($I$19=1,$F$60,(IF($I$19=2,$F$64,(IF($I$19=3,0,$F$72)))))))</f>
        <v>0</v>
      </c>
      <c r="U25" s="204">
        <f>($F$88*$I$17*(K25/$K$39))</f>
        <v>0</v>
      </c>
      <c r="V25" s="521">
        <f>SUM(R25:U25)</f>
        <v>0</v>
      </c>
      <c r="W25" s="8"/>
      <c r="X25" s="177" t="s">
        <v>527</v>
      </c>
      <c r="Y25" s="205">
        <f t="shared" ref="Y25:Y32" si="2">O25</f>
        <v>0</v>
      </c>
      <c r="Z25" s="205">
        <f>V25</f>
        <v>0</v>
      </c>
      <c r="AA25" s="521">
        <f>Y25+Z25</f>
        <v>0</v>
      </c>
      <c r="AB25" s="126"/>
    </row>
    <row r="26" spans="1:28" x14ac:dyDescent="0.35">
      <c r="A26" s="281"/>
      <c r="B26" s="5"/>
      <c r="C26" s="65"/>
      <c r="D26" s="11"/>
      <c r="E26" s="60"/>
      <c r="F26" s="572"/>
      <c r="G26" s="577"/>
      <c r="I26" s="124"/>
      <c r="J26" s="177" t="s">
        <v>487</v>
      </c>
      <c r="K26" s="197">
        <f>(GIS_inputs!C52/(Depopulation!$I$17*Depopulation!$I$18))</f>
        <v>0</v>
      </c>
      <c r="L26" s="125" t="s">
        <v>432</v>
      </c>
      <c r="M26" s="8"/>
      <c r="N26" s="177" t="s">
        <v>495</v>
      </c>
      <c r="O26" s="200">
        <f t="shared" si="0"/>
        <v>0</v>
      </c>
      <c r="P26" s="8"/>
      <c r="Q26" s="177" t="s">
        <v>504</v>
      </c>
      <c r="R26" s="202">
        <f t="shared" si="1"/>
        <v>0</v>
      </c>
      <c r="S26" s="203">
        <f>(GIS_inputs!C52)*(IF($I$19=1,$F$25,(IF($I$19=2,$F31,(IF($I$19=3,$F$35,$F$39))))))</f>
        <v>0</v>
      </c>
      <c r="T26" s="204">
        <f>(K26*$F$56*$I$17)+($F$55*$I$17*(K26/$K$39))+((K26/$K$39)*$I$17*(IF($I$19=1,$F$60,(IF($I$19=2,$F$64,(IF($I$19=3,0,$F$72)))))))</f>
        <v>0</v>
      </c>
      <c r="U26" s="204">
        <f>($F$88*$I$17*(K26/$K$39))</f>
        <v>0</v>
      </c>
      <c r="V26" s="521">
        <f>SUM(R26:U26)</f>
        <v>0</v>
      </c>
      <c r="W26" s="8"/>
      <c r="X26" s="177" t="s">
        <v>528</v>
      </c>
      <c r="Y26" s="205">
        <f t="shared" si="2"/>
        <v>0</v>
      </c>
      <c r="Z26" s="205">
        <f>V26</f>
        <v>0</v>
      </c>
      <c r="AA26" s="521">
        <f>Y26+Z26</f>
        <v>0</v>
      </c>
      <c r="AB26" s="126"/>
    </row>
    <row r="27" spans="1:28" x14ac:dyDescent="0.35">
      <c r="A27" s="140" t="s">
        <v>81</v>
      </c>
      <c r="B27" s="5"/>
      <c r="C27" s="65"/>
      <c r="D27" s="11"/>
      <c r="E27" s="60"/>
      <c r="F27" s="572"/>
      <c r="G27" s="577"/>
      <c r="I27" s="124"/>
      <c r="J27" s="177" t="s">
        <v>488</v>
      </c>
      <c r="K27" s="197">
        <f>(GIS_inputs!C53/(Depopulation!$I$17*Depopulation!$I$18))</f>
        <v>0</v>
      </c>
      <c r="L27" s="125" t="s">
        <v>432</v>
      </c>
      <c r="M27" s="8"/>
      <c r="N27" s="177" t="s">
        <v>496</v>
      </c>
      <c r="O27" s="200">
        <f t="shared" si="0"/>
        <v>0</v>
      </c>
      <c r="P27" s="8"/>
      <c r="Q27" s="177" t="s">
        <v>505</v>
      </c>
      <c r="R27" s="202">
        <f t="shared" si="1"/>
        <v>0</v>
      </c>
      <c r="S27" s="203">
        <f>(GIS_inputs!C53)*(IF($I$19=1,$F$25,(IF($I$19=2,$F32,(IF($I$19=3,$F$35,$F$39))))))</f>
        <v>0</v>
      </c>
      <c r="T27" s="204">
        <f>(K27*$F$56*$I$17)+($F$55*$I$17*(K27/$K$39))+((K27/$K$39)*$I$17*(IF($I$19=1,$F$60,(IF($I$19=2,$F$64,(IF($I$19=3,0,$F$72)))))))</f>
        <v>0</v>
      </c>
      <c r="U27" s="204">
        <f>($F$88*$I$17*(K27/$K$39))</f>
        <v>0</v>
      </c>
      <c r="V27" s="521">
        <f>SUM(R27:U27)</f>
        <v>0</v>
      </c>
      <c r="W27" s="8"/>
      <c r="X27" s="177" t="s">
        <v>529</v>
      </c>
      <c r="Y27" s="205">
        <f t="shared" si="2"/>
        <v>0</v>
      </c>
      <c r="Z27" s="205">
        <f>V27</f>
        <v>0</v>
      </c>
      <c r="AA27" s="521">
        <f>Y27+Z27</f>
        <v>0</v>
      </c>
      <c r="AB27" s="126"/>
    </row>
    <row r="28" spans="1:28" x14ac:dyDescent="0.35">
      <c r="A28" s="405" t="s">
        <v>107</v>
      </c>
      <c r="B28" s="221">
        <v>22</v>
      </c>
      <c r="C28" s="65" t="s">
        <v>121</v>
      </c>
      <c r="D28" s="230">
        <v>2</v>
      </c>
      <c r="E28" s="61"/>
      <c r="F28" s="572">
        <f>(B28/20)*D28</f>
        <v>2.2000000000000002</v>
      </c>
      <c r="G28" s="577" t="s">
        <v>1264</v>
      </c>
      <c r="I28" s="124"/>
      <c r="J28" s="124"/>
      <c r="K28" s="193"/>
      <c r="L28" s="126"/>
      <c r="M28" s="8"/>
      <c r="N28" s="124"/>
      <c r="O28" s="181"/>
      <c r="P28" s="8"/>
      <c r="Q28" s="124"/>
      <c r="R28" s="188"/>
      <c r="S28" s="188"/>
      <c r="T28" s="189"/>
      <c r="U28" s="8"/>
      <c r="V28" s="126"/>
      <c r="W28" s="8"/>
      <c r="X28" s="190"/>
      <c r="Y28" s="183"/>
      <c r="Z28" s="9"/>
      <c r="AA28" s="126"/>
      <c r="AB28" s="126"/>
    </row>
    <row r="29" spans="1:28" x14ac:dyDescent="0.35">
      <c r="A29" s="341" t="s">
        <v>110</v>
      </c>
      <c r="B29" s="5"/>
      <c r="C29" s="65"/>
      <c r="D29" s="11"/>
      <c r="E29" s="60"/>
      <c r="F29" s="575">
        <f>SUM(F28:F28)</f>
        <v>2.2000000000000002</v>
      </c>
      <c r="G29" s="549" t="s">
        <v>1264</v>
      </c>
      <c r="I29" s="124"/>
      <c r="J29" s="177" t="s">
        <v>489</v>
      </c>
      <c r="K29" s="197">
        <f>(GIS_inputs!C121/(Depopulation!$I$17*Depopulation!$I$18))</f>
        <v>86.666666666666671</v>
      </c>
      <c r="L29" s="125" t="s">
        <v>432</v>
      </c>
      <c r="M29" s="8"/>
      <c r="N29" s="177" t="s">
        <v>497</v>
      </c>
      <c r="O29" s="200">
        <f t="shared" si="0"/>
        <v>32156800</v>
      </c>
      <c r="P29" s="8"/>
      <c r="Q29" s="177" t="s">
        <v>506</v>
      </c>
      <c r="R29" s="204">
        <f t="shared" si="1"/>
        <v>568533.33333333337</v>
      </c>
      <c r="S29" s="204">
        <f>(GIS_inputs!C121)*(IF($I$19=1,$F$25,(IF($I$19=2,$F34,(IF($I$19=3,$F$35,$F$39))))))</f>
        <v>20930582.399999999</v>
      </c>
      <c r="T29" s="204">
        <f>(K29*$F$56*$I$17)+($F$55*$I$17*(K29/$K$39))+((K29/$K$39)*$I$17*(IF($I$19=1,$F$60,(IF($I$19=2,$F$64,(IF($I$19=3,0,$F$72)))))))</f>
        <v>5695587.4285714282</v>
      </c>
      <c r="U29" s="204">
        <f>($F$88*$I$17*(K29/$K$39))</f>
        <v>33600</v>
      </c>
      <c r="V29" s="521">
        <f>SUM(R29:U29)</f>
        <v>27228303.16190476</v>
      </c>
      <c r="W29" s="8"/>
      <c r="X29" s="177" t="s">
        <v>530</v>
      </c>
      <c r="Y29" s="205">
        <f t="shared" si="2"/>
        <v>32156800</v>
      </c>
      <c r="Z29" s="205">
        <f>V29</f>
        <v>27228303.16190476</v>
      </c>
      <c r="AA29" s="521">
        <f t="shared" ref="AA29:AA37" si="3">Y29+Z29</f>
        <v>59385103.16190476</v>
      </c>
      <c r="AB29" s="126"/>
    </row>
    <row r="30" spans="1:28" x14ac:dyDescent="0.35">
      <c r="A30" s="281"/>
      <c r="B30" s="5"/>
      <c r="C30" s="65"/>
      <c r="D30" s="11"/>
      <c r="E30" s="60"/>
      <c r="F30" s="572"/>
      <c r="G30" s="577"/>
      <c r="I30" s="124"/>
      <c r="J30" s="177" t="s">
        <v>490</v>
      </c>
      <c r="K30" s="197">
        <f>(GIS_inputs!C122/(Depopulation!$I$17*Depopulation!$I$18))</f>
        <v>0</v>
      </c>
      <c r="L30" s="125" t="s">
        <v>432</v>
      </c>
      <c r="M30" s="8"/>
      <c r="N30" s="177" t="s">
        <v>498</v>
      </c>
      <c r="O30" s="200">
        <f t="shared" si="0"/>
        <v>0</v>
      </c>
      <c r="P30" s="8"/>
      <c r="Q30" s="177" t="s">
        <v>507</v>
      </c>
      <c r="R30" s="202">
        <f t="shared" si="1"/>
        <v>0</v>
      </c>
      <c r="S30" s="203">
        <f>(GIS_inputs!C122)*(IF($I$19=1,$F$25,(IF($I$19=2,$F35,(IF($I$19=3,$F$35,$F$39))))))</f>
        <v>0</v>
      </c>
      <c r="T30" s="204">
        <f>(K30*$F$56*$I$17)+($F$55*$I$17*(K30/$K$39))+((K30/$K$39)*$I$17*(IF($I$19=1,$F$60,(IF($I$19=2,$F$64,(IF($I$19=3,0,$F$72)))))))</f>
        <v>0</v>
      </c>
      <c r="U30" s="204">
        <f>($F$88*$I$17*(K30/$K$39))</f>
        <v>0</v>
      </c>
      <c r="V30" s="521">
        <f>SUM(R30:U30)</f>
        <v>0</v>
      </c>
      <c r="W30" s="8"/>
      <c r="X30" s="177" t="s">
        <v>531</v>
      </c>
      <c r="Y30" s="205">
        <f t="shared" si="2"/>
        <v>0</v>
      </c>
      <c r="Z30" s="205">
        <f>V30</f>
        <v>0</v>
      </c>
      <c r="AA30" s="521">
        <f t="shared" si="3"/>
        <v>0</v>
      </c>
      <c r="AB30" s="126"/>
    </row>
    <row r="31" spans="1:28" x14ac:dyDescent="0.35">
      <c r="A31" s="140" t="s">
        <v>82</v>
      </c>
      <c r="B31" s="5"/>
      <c r="C31" s="65"/>
      <c r="D31" s="11"/>
      <c r="E31" s="60"/>
      <c r="F31" s="572"/>
      <c r="G31" s="577"/>
      <c r="I31" s="124"/>
      <c r="J31" s="177" t="s">
        <v>491</v>
      </c>
      <c r="K31" s="197">
        <f>(GIS_inputs!C123/(Depopulation!$I$17*Depopulation!$I$18))</f>
        <v>0</v>
      </c>
      <c r="L31" s="125" t="s">
        <v>432</v>
      </c>
      <c r="M31" s="8"/>
      <c r="N31" s="177" t="s">
        <v>499</v>
      </c>
      <c r="O31" s="200">
        <f t="shared" si="0"/>
        <v>0</v>
      </c>
      <c r="P31" s="8"/>
      <c r="Q31" s="177" t="s">
        <v>508</v>
      </c>
      <c r="R31" s="202">
        <f t="shared" si="1"/>
        <v>0</v>
      </c>
      <c r="S31" s="203">
        <f>(GIS_inputs!C123)*(IF($I$19=1,$F$25,(IF($I$19=2,$F36,(IF($I$19=3,$F$35,$F$39))))))</f>
        <v>0</v>
      </c>
      <c r="T31" s="204">
        <f>(K31*$F$56*$I$17)+($F$55*$I$17*(K31/$K$39))+((K31/$K$39)*$I$17*(IF($I$19=1,$F$60,(IF($I$19=2,$F$64,(IF($I$19=3,0,$F$72)))))))</f>
        <v>0</v>
      </c>
      <c r="U31" s="204">
        <f>($F$88*$I$17*(K31/$K$39))</f>
        <v>0</v>
      </c>
      <c r="V31" s="521">
        <f>SUM(R31:U31)</f>
        <v>0</v>
      </c>
      <c r="W31" s="8"/>
      <c r="X31" s="177" t="s">
        <v>532</v>
      </c>
      <c r="Y31" s="205">
        <f t="shared" si="2"/>
        <v>0</v>
      </c>
      <c r="Z31" s="205">
        <f>V31</f>
        <v>0</v>
      </c>
      <c r="AA31" s="521">
        <f t="shared" si="3"/>
        <v>0</v>
      </c>
      <c r="AB31" s="126"/>
    </row>
    <row r="32" spans="1:28" x14ac:dyDescent="0.35">
      <c r="A32" s="406" t="s">
        <v>58</v>
      </c>
      <c r="B32" s="221">
        <v>59.99</v>
      </c>
      <c r="C32" s="105" t="s">
        <v>124</v>
      </c>
      <c r="D32" s="220">
        <v>250</v>
      </c>
      <c r="E32" s="60"/>
      <c r="F32" s="576">
        <f>B32*(60/D32)</f>
        <v>14.397600000000001</v>
      </c>
      <c r="G32" s="577" t="s">
        <v>1264</v>
      </c>
      <c r="I32" s="124"/>
      <c r="J32" s="177" t="s">
        <v>492</v>
      </c>
      <c r="K32" s="197">
        <f>(GIS_inputs!C124/(Depopulation!$I$17*Depopulation!$I$18))</f>
        <v>0</v>
      </c>
      <c r="L32" s="125" t="s">
        <v>432</v>
      </c>
      <c r="M32" s="8"/>
      <c r="N32" s="177" t="s">
        <v>500</v>
      </c>
      <c r="O32" s="200">
        <f t="shared" si="0"/>
        <v>0</v>
      </c>
      <c r="P32" s="8"/>
      <c r="Q32" s="177" t="s">
        <v>509</v>
      </c>
      <c r="R32" s="202">
        <f t="shared" si="1"/>
        <v>0</v>
      </c>
      <c r="S32" s="203">
        <f>(GIS_inputs!C124)*(IF($I$19=1,$F$25,(IF($I$19=2,$F37,(IF($I$19=3,$F$35,$F$39))))))</f>
        <v>0</v>
      </c>
      <c r="T32" s="204">
        <f>(K32*$F$56*$I$17)+($F$55*$I$17*(K32/$K$39))+((K32/$K$39)*$I$17*(IF($I$19=1,$F$60,(IF($I$19=2,$F$64,(IF($I$19=3,0,$F$72)))))))</f>
        <v>0</v>
      </c>
      <c r="U32" s="204">
        <f>($F$88*$I$17*(K32/$K$39))</f>
        <v>0</v>
      </c>
      <c r="V32" s="521">
        <f>SUM(R32:U32)</f>
        <v>0</v>
      </c>
      <c r="W32" s="8"/>
      <c r="X32" s="177" t="s">
        <v>533</v>
      </c>
      <c r="Y32" s="205">
        <f t="shared" si="2"/>
        <v>0</v>
      </c>
      <c r="Z32" s="205">
        <f>V32</f>
        <v>0</v>
      </c>
      <c r="AA32" s="521">
        <f t="shared" si="3"/>
        <v>0</v>
      </c>
      <c r="AB32" s="126"/>
    </row>
    <row r="33" spans="1:28" x14ac:dyDescent="0.35">
      <c r="A33" s="177" t="s">
        <v>59</v>
      </c>
      <c r="B33" s="221">
        <v>21.44</v>
      </c>
      <c r="C33" s="106">
        <v>20</v>
      </c>
      <c r="D33" s="230">
        <v>20</v>
      </c>
      <c r="E33" s="61"/>
      <c r="F33" s="572">
        <f>B33/D33</f>
        <v>1.0720000000000001</v>
      </c>
      <c r="G33" s="577" t="s">
        <v>1264</v>
      </c>
      <c r="I33" s="124"/>
      <c r="J33" s="124"/>
      <c r="K33" s="193"/>
      <c r="L33" s="126"/>
      <c r="M33" s="8"/>
      <c r="N33" s="124"/>
      <c r="O33" s="181"/>
      <c r="P33" s="8"/>
      <c r="Q33" s="124"/>
      <c r="R33" s="188"/>
      <c r="S33" s="188"/>
      <c r="T33" s="189"/>
      <c r="U33" s="8"/>
      <c r="V33" s="126"/>
      <c r="W33" s="8"/>
      <c r="X33" s="124"/>
      <c r="Y33" s="184"/>
      <c r="Z33" s="8"/>
      <c r="AA33" s="126"/>
      <c r="AB33" s="126"/>
    </row>
    <row r="34" spans="1:28" x14ac:dyDescent="0.35">
      <c r="A34" s="177" t="s">
        <v>60</v>
      </c>
      <c r="B34" s="221">
        <v>7.99</v>
      </c>
      <c r="C34" s="11" t="s">
        <v>120</v>
      </c>
      <c r="D34" s="220">
        <v>2</v>
      </c>
      <c r="E34" s="60" t="s">
        <v>117</v>
      </c>
      <c r="F34" s="572">
        <f>D34*B34</f>
        <v>15.98</v>
      </c>
      <c r="G34" s="577" t="s">
        <v>1264</v>
      </c>
      <c r="I34" s="124"/>
      <c r="J34" s="177" t="s">
        <v>521</v>
      </c>
      <c r="K34" s="197">
        <f>K29+K24</f>
        <v>151.66666666666669</v>
      </c>
      <c r="L34" s="125" t="s">
        <v>432</v>
      </c>
      <c r="M34" s="8"/>
      <c r="N34" s="177" t="s">
        <v>516</v>
      </c>
      <c r="O34" s="200">
        <f>O29+O24</f>
        <v>56274400</v>
      </c>
      <c r="P34" s="8"/>
      <c r="Q34" s="177" t="s">
        <v>510</v>
      </c>
      <c r="R34" s="204">
        <f>R29+R24</f>
        <v>994933.33333333337</v>
      </c>
      <c r="S34" s="204">
        <f>S29+S24</f>
        <v>36628519.200000003</v>
      </c>
      <c r="T34" s="204">
        <f>T29+T24</f>
        <v>9967278</v>
      </c>
      <c r="U34" s="223">
        <f>U29+U24</f>
        <v>58800</v>
      </c>
      <c r="V34" s="521">
        <f>SUM(R34:U34)</f>
        <v>47649530.533333339</v>
      </c>
      <c r="W34" s="8"/>
      <c r="X34" s="177" t="s">
        <v>534</v>
      </c>
      <c r="Y34" s="205">
        <f>O34</f>
        <v>56274400</v>
      </c>
      <c r="Z34" s="205">
        <f>V34</f>
        <v>47649530.533333339</v>
      </c>
      <c r="AA34" s="521">
        <f t="shared" si="3"/>
        <v>103923930.53333333</v>
      </c>
      <c r="AB34" s="126"/>
    </row>
    <row r="35" spans="1:28" x14ac:dyDescent="0.35">
      <c r="A35" s="341" t="s">
        <v>111</v>
      </c>
      <c r="B35" s="5"/>
      <c r="C35" s="65"/>
      <c r="D35" s="11"/>
      <c r="E35" s="60"/>
      <c r="F35" s="575">
        <f>SUM(F32:F34)</f>
        <v>31.4496</v>
      </c>
      <c r="G35" s="549" t="s">
        <v>1264</v>
      </c>
      <c r="I35" s="124"/>
      <c r="J35" s="177" t="s">
        <v>522</v>
      </c>
      <c r="K35" s="197">
        <f>K30+K25</f>
        <v>0</v>
      </c>
      <c r="L35" s="125" t="s">
        <v>432</v>
      </c>
      <c r="M35" s="8"/>
      <c r="N35" s="177" t="s">
        <v>517</v>
      </c>
      <c r="O35" s="200">
        <f>O30+O25</f>
        <v>0</v>
      </c>
      <c r="P35" s="8"/>
      <c r="Q35" s="177" t="s">
        <v>511</v>
      </c>
      <c r="R35" s="204">
        <f t="shared" ref="R35:U37" si="4">R30+R25</f>
        <v>0</v>
      </c>
      <c r="S35" s="204">
        <f t="shared" si="4"/>
        <v>0</v>
      </c>
      <c r="T35" s="204">
        <f t="shared" si="4"/>
        <v>0</v>
      </c>
      <c r="U35" s="223">
        <f t="shared" si="4"/>
        <v>0</v>
      </c>
      <c r="V35" s="521">
        <f>SUM(R35:U35)</f>
        <v>0</v>
      </c>
      <c r="W35" s="8"/>
      <c r="X35" s="177" t="s">
        <v>535</v>
      </c>
      <c r="Y35" s="205">
        <f>O35</f>
        <v>0</v>
      </c>
      <c r="Z35" s="205">
        <f>V35</f>
        <v>0</v>
      </c>
      <c r="AA35" s="521">
        <f t="shared" si="3"/>
        <v>0</v>
      </c>
      <c r="AB35" s="126"/>
    </row>
    <row r="36" spans="1:28" x14ac:dyDescent="0.35">
      <c r="A36" s="281"/>
      <c r="B36" s="5"/>
      <c r="C36" s="65"/>
      <c r="D36" s="11"/>
      <c r="E36" s="60"/>
      <c r="F36" s="572"/>
      <c r="G36" s="577"/>
      <c r="I36" s="124"/>
      <c r="J36" s="177" t="s">
        <v>523</v>
      </c>
      <c r="K36" s="197">
        <f>K31+K26</f>
        <v>0</v>
      </c>
      <c r="L36" s="125" t="s">
        <v>432</v>
      </c>
      <c r="M36" s="8"/>
      <c r="N36" s="177" t="s">
        <v>518</v>
      </c>
      <c r="O36" s="200">
        <f>O31+O26</f>
        <v>0</v>
      </c>
      <c r="P36" s="8"/>
      <c r="Q36" s="177" t="s">
        <v>512</v>
      </c>
      <c r="R36" s="204">
        <f t="shared" si="4"/>
        <v>0</v>
      </c>
      <c r="S36" s="204">
        <f t="shared" si="4"/>
        <v>0</v>
      </c>
      <c r="T36" s="204">
        <f t="shared" si="4"/>
        <v>0</v>
      </c>
      <c r="U36" s="223">
        <f t="shared" si="4"/>
        <v>0</v>
      </c>
      <c r="V36" s="521">
        <f>SUM(R36:U36)</f>
        <v>0</v>
      </c>
      <c r="W36" s="8"/>
      <c r="X36" s="177" t="s">
        <v>536</v>
      </c>
      <c r="Y36" s="205">
        <f>O36</f>
        <v>0</v>
      </c>
      <c r="Z36" s="205">
        <f>V36</f>
        <v>0</v>
      </c>
      <c r="AA36" s="521">
        <f t="shared" si="3"/>
        <v>0</v>
      </c>
      <c r="AB36" s="126"/>
    </row>
    <row r="37" spans="1:28" x14ac:dyDescent="0.35">
      <c r="A37" s="140" t="s">
        <v>83</v>
      </c>
      <c r="B37" s="5"/>
      <c r="C37" s="65"/>
      <c r="D37" s="11"/>
      <c r="E37" s="60"/>
      <c r="F37" s="572"/>
      <c r="G37" s="577"/>
      <c r="I37" s="124"/>
      <c r="J37" s="177" t="s">
        <v>524</v>
      </c>
      <c r="K37" s="197">
        <f>K32+K27</f>
        <v>0</v>
      </c>
      <c r="L37" s="125" t="s">
        <v>432</v>
      </c>
      <c r="M37" s="8"/>
      <c r="N37" s="177" t="s">
        <v>519</v>
      </c>
      <c r="O37" s="200">
        <f>O32+O27</f>
        <v>0</v>
      </c>
      <c r="P37" s="8"/>
      <c r="Q37" s="177" t="s">
        <v>513</v>
      </c>
      <c r="R37" s="204">
        <f t="shared" si="4"/>
        <v>0</v>
      </c>
      <c r="S37" s="204">
        <f t="shared" si="4"/>
        <v>0</v>
      </c>
      <c r="T37" s="204">
        <f t="shared" si="4"/>
        <v>0</v>
      </c>
      <c r="U37" s="223">
        <f t="shared" si="4"/>
        <v>0</v>
      </c>
      <c r="V37" s="521">
        <f>SUM(R37:U37)</f>
        <v>0</v>
      </c>
      <c r="W37" s="8"/>
      <c r="X37" s="177" t="s">
        <v>537</v>
      </c>
      <c r="Y37" s="205">
        <f>O37</f>
        <v>0</v>
      </c>
      <c r="Z37" s="205">
        <f>V37</f>
        <v>0</v>
      </c>
      <c r="AA37" s="521">
        <f t="shared" si="3"/>
        <v>0</v>
      </c>
      <c r="AB37" s="126"/>
    </row>
    <row r="38" spans="1:28" x14ac:dyDescent="0.35">
      <c r="A38" s="405" t="s">
        <v>85</v>
      </c>
      <c r="B38" s="221">
        <v>34</v>
      </c>
      <c r="C38" s="65" t="s">
        <v>125</v>
      </c>
      <c r="D38" s="230">
        <v>1</v>
      </c>
      <c r="E38" s="61" t="s">
        <v>126</v>
      </c>
      <c r="F38" s="572">
        <f>D38*B38</f>
        <v>34</v>
      </c>
      <c r="G38" s="577" t="s">
        <v>1264</v>
      </c>
      <c r="I38" s="124"/>
      <c r="J38" s="124"/>
      <c r="K38" s="193"/>
      <c r="L38" s="126"/>
      <c r="M38" s="8"/>
      <c r="N38" s="124"/>
      <c r="O38" s="181"/>
      <c r="P38" s="8"/>
      <c r="Q38" s="177"/>
      <c r="R38" s="185"/>
      <c r="S38" s="186"/>
      <c r="T38" s="186"/>
      <c r="U38" s="186"/>
      <c r="V38" s="522"/>
      <c r="W38" s="8"/>
      <c r="X38" s="177"/>
      <c r="Y38" s="182"/>
      <c r="Z38" s="2"/>
      <c r="AA38" s="125"/>
      <c r="AB38" s="126"/>
    </row>
    <row r="39" spans="1:28" ht="15" thickBot="1" x14ac:dyDescent="0.4">
      <c r="A39" s="341" t="s">
        <v>112</v>
      </c>
      <c r="B39" s="5"/>
      <c r="C39" s="65"/>
      <c r="D39" s="11"/>
      <c r="E39" s="11"/>
      <c r="F39" s="575">
        <f>SUM(F37:F38)</f>
        <v>34</v>
      </c>
      <c r="G39" s="549" t="s">
        <v>1264</v>
      </c>
      <c r="I39" s="124"/>
      <c r="J39" s="178" t="s">
        <v>525</v>
      </c>
      <c r="K39" s="198">
        <f>SUM(K34:K37)</f>
        <v>151.66666666666669</v>
      </c>
      <c r="L39" s="129" t="s">
        <v>432</v>
      </c>
      <c r="M39" s="8"/>
      <c r="N39" s="178" t="s">
        <v>520</v>
      </c>
      <c r="O39" s="201">
        <f>SUM(O34:O37)</f>
        <v>56274400</v>
      </c>
      <c r="P39" s="8"/>
      <c r="Q39" s="395" t="s">
        <v>515</v>
      </c>
      <c r="R39" s="523">
        <f>SUM(R34:R37)</f>
        <v>994933.33333333337</v>
      </c>
      <c r="S39" s="524">
        <f>SUM(S34:S37)</f>
        <v>36628519.200000003</v>
      </c>
      <c r="T39" s="524">
        <f>SUM(T34:T37)</f>
        <v>9967278</v>
      </c>
      <c r="U39" s="524">
        <f>SUM(U34:U37)</f>
        <v>58800</v>
      </c>
      <c r="V39" s="526">
        <f>SUM(R39:U39)</f>
        <v>47649530.533333339</v>
      </c>
      <c r="W39" s="8"/>
      <c r="X39" s="395" t="s">
        <v>550</v>
      </c>
      <c r="Y39" s="528">
        <f>SUM(Y34:Y37)</f>
        <v>56274400</v>
      </c>
      <c r="Z39" s="528">
        <f>SUM(Z34:Z37)</f>
        <v>47649530.533333339</v>
      </c>
      <c r="AA39" s="529">
        <f>SUM(AA34:AA37)</f>
        <v>103923930.53333333</v>
      </c>
      <c r="AB39" s="126"/>
    </row>
    <row r="40" spans="1:28" x14ac:dyDescent="0.35">
      <c r="A40" s="177"/>
      <c r="B40" s="5"/>
      <c r="C40" s="65"/>
      <c r="D40" s="11"/>
      <c r="E40" s="11"/>
      <c r="F40" s="572"/>
      <c r="G40" s="577"/>
      <c r="I40" s="124"/>
      <c r="J40" s="8"/>
      <c r="K40" s="8"/>
      <c r="L40" s="8"/>
      <c r="M40" s="8"/>
      <c r="N40" s="8"/>
      <c r="O40" s="8"/>
      <c r="P40" s="8"/>
      <c r="Q40" s="8"/>
      <c r="R40" s="8"/>
      <c r="S40" s="8"/>
      <c r="T40" s="8"/>
      <c r="U40" s="8"/>
      <c r="V40" s="8"/>
      <c r="W40" s="8"/>
      <c r="X40" s="8"/>
      <c r="Y40" s="8"/>
      <c r="Z40" s="8"/>
      <c r="AA40" s="8"/>
      <c r="AB40" s="126"/>
    </row>
    <row r="41" spans="1:28" ht="15" thickBot="1" x14ac:dyDescent="0.4">
      <c r="A41" s="284" t="s">
        <v>1207</v>
      </c>
      <c r="B41" s="285"/>
      <c r="C41" s="286"/>
      <c r="D41" s="287"/>
      <c r="E41" s="288"/>
      <c r="F41" s="578">
        <f>D41*B41</f>
        <v>0</v>
      </c>
      <c r="G41" s="568" t="s">
        <v>1192</v>
      </c>
      <c r="H41" s="253"/>
      <c r="I41" s="124"/>
      <c r="J41" s="9"/>
      <c r="K41" s="9"/>
      <c r="L41" s="9"/>
      <c r="M41" s="8"/>
      <c r="N41" s="9"/>
      <c r="O41" s="9"/>
      <c r="P41" s="8"/>
      <c r="Q41" s="8"/>
      <c r="R41" s="8"/>
      <c r="S41" s="8"/>
      <c r="T41" s="8"/>
      <c r="U41" s="8"/>
      <c r="V41" s="184"/>
      <c r="W41" s="8"/>
      <c r="X41" s="8"/>
      <c r="Y41" s="8"/>
      <c r="Z41" s="8"/>
      <c r="AA41" s="8"/>
      <c r="AB41" s="126"/>
    </row>
    <row r="42" spans="1:28" ht="15" thickBot="1" x14ac:dyDescent="0.4">
      <c r="A42" s="319"/>
      <c r="B42" s="292"/>
      <c r="C42" s="294"/>
      <c r="D42" s="293"/>
      <c r="E42" s="293"/>
      <c r="F42" s="402"/>
      <c r="G42" s="192"/>
      <c r="I42" s="190"/>
      <c r="J42" s="8"/>
      <c r="K42" s="191"/>
      <c r="L42" s="8"/>
      <c r="M42" s="8"/>
      <c r="N42" s="8"/>
      <c r="O42" s="192"/>
      <c r="P42" s="8"/>
      <c r="Q42" s="8"/>
      <c r="R42" s="8"/>
      <c r="S42" s="8"/>
      <c r="T42" s="8"/>
      <c r="U42" s="8"/>
      <c r="V42" s="8"/>
      <c r="W42" s="8"/>
      <c r="X42" s="8"/>
      <c r="Y42" s="8"/>
      <c r="Z42" s="8"/>
      <c r="AA42" s="8"/>
      <c r="AB42" s="126"/>
    </row>
    <row r="43" spans="1:28" x14ac:dyDescent="0.35">
      <c r="A43" s="277" t="s">
        <v>20</v>
      </c>
      <c r="B43" s="278" t="s">
        <v>28</v>
      </c>
      <c r="C43" s="278" t="s">
        <v>29</v>
      </c>
      <c r="D43" s="278" t="s">
        <v>65</v>
      </c>
      <c r="E43" s="278" t="s">
        <v>29</v>
      </c>
      <c r="F43" s="571" t="s">
        <v>30</v>
      </c>
      <c r="G43" s="398" t="s">
        <v>150</v>
      </c>
      <c r="I43" s="124"/>
      <c r="J43" s="8"/>
      <c r="K43" s="8"/>
      <c r="L43" s="8"/>
      <c r="M43" s="8"/>
      <c r="N43" s="8"/>
      <c r="O43" s="192"/>
      <c r="P43" s="8"/>
      <c r="Q43" s="8"/>
      <c r="R43" s="8"/>
      <c r="S43" s="8"/>
      <c r="T43" s="8"/>
      <c r="U43" s="8"/>
      <c r="V43" s="8"/>
      <c r="W43" s="8"/>
      <c r="X43" s="8"/>
      <c r="Y43" s="8"/>
      <c r="Z43" s="8"/>
      <c r="AA43" s="8"/>
      <c r="AB43" s="126"/>
    </row>
    <row r="44" spans="1:28" x14ac:dyDescent="0.35">
      <c r="A44" s="409"/>
      <c r="B44" s="2"/>
      <c r="C44" s="65"/>
      <c r="D44" s="11"/>
      <c r="E44" s="11"/>
      <c r="F44" s="572"/>
      <c r="G44" s="399"/>
      <c r="I44" s="124"/>
      <c r="J44" s="8"/>
      <c r="K44" s="8"/>
      <c r="L44" s="8"/>
      <c r="M44" s="8"/>
      <c r="N44" s="8"/>
      <c r="O44" s="8"/>
      <c r="P44" s="8"/>
      <c r="Q44" s="8" t="s">
        <v>467</v>
      </c>
      <c r="R44" s="8"/>
      <c r="S44" s="8"/>
      <c r="T44" s="8"/>
      <c r="U44" s="8"/>
      <c r="V44" s="8"/>
      <c r="W44" s="8"/>
      <c r="X44" s="8"/>
      <c r="Y44" s="8"/>
      <c r="Z44" s="8"/>
      <c r="AA44" s="8"/>
      <c r="AB44" s="126"/>
    </row>
    <row r="45" spans="1:28" ht="15" thickBot="1" x14ac:dyDescent="0.4">
      <c r="A45" s="177" t="s">
        <v>21</v>
      </c>
      <c r="B45" s="221">
        <v>5000</v>
      </c>
      <c r="C45" s="65" t="s">
        <v>10</v>
      </c>
      <c r="D45" s="220">
        <v>1</v>
      </c>
      <c r="E45" s="60" t="s">
        <v>117</v>
      </c>
      <c r="F45" s="572">
        <f t="shared" ref="F45:F53" si="5">D45*B45</f>
        <v>5000</v>
      </c>
      <c r="G45" s="577" t="s">
        <v>1192</v>
      </c>
      <c r="I45" s="127"/>
      <c r="J45" s="133"/>
      <c r="K45" s="133"/>
      <c r="L45" s="133"/>
      <c r="M45" s="133"/>
      <c r="N45" s="133"/>
      <c r="O45" s="133"/>
      <c r="P45" s="133"/>
      <c r="Q45" s="133"/>
      <c r="R45" s="133"/>
      <c r="S45" s="133"/>
      <c r="T45" s="133"/>
      <c r="U45" s="133"/>
      <c r="V45" s="133"/>
      <c r="W45" s="133"/>
      <c r="X45" s="133"/>
      <c r="Y45" s="133"/>
      <c r="Z45" s="133"/>
      <c r="AA45" s="133"/>
      <c r="AB45" s="134"/>
    </row>
    <row r="46" spans="1:28" x14ac:dyDescent="0.35">
      <c r="A46" s="177" t="s">
        <v>22</v>
      </c>
      <c r="B46" s="221">
        <v>85</v>
      </c>
      <c r="C46" s="65" t="s">
        <v>10</v>
      </c>
      <c r="D46" s="220">
        <v>30</v>
      </c>
      <c r="E46" s="60" t="s">
        <v>117</v>
      </c>
      <c r="F46" s="572">
        <f t="shared" si="5"/>
        <v>2550</v>
      </c>
      <c r="G46" s="577" t="s">
        <v>1192</v>
      </c>
    </row>
    <row r="47" spans="1:28" x14ac:dyDescent="0.35">
      <c r="A47" s="177" t="s">
        <v>23</v>
      </c>
      <c r="B47" s="221">
        <v>2187</v>
      </c>
      <c r="C47" s="65" t="s">
        <v>10</v>
      </c>
      <c r="D47" s="220">
        <v>1</v>
      </c>
      <c r="E47" s="60" t="s">
        <v>117</v>
      </c>
      <c r="F47" s="572">
        <f t="shared" si="5"/>
        <v>2187</v>
      </c>
      <c r="G47" s="577" t="s">
        <v>1192</v>
      </c>
    </row>
    <row r="48" spans="1:28" x14ac:dyDescent="0.35">
      <c r="A48" s="177" t="s">
        <v>62</v>
      </c>
      <c r="B48" s="221">
        <v>81</v>
      </c>
      <c r="C48" s="65" t="s">
        <v>61</v>
      </c>
      <c r="D48" s="220">
        <v>1</v>
      </c>
      <c r="E48" s="60" t="s">
        <v>127</v>
      </c>
      <c r="F48" s="572">
        <f t="shared" si="5"/>
        <v>81</v>
      </c>
      <c r="G48" s="577" t="s">
        <v>149</v>
      </c>
    </row>
    <row r="49" spans="1:7" x14ac:dyDescent="0.35">
      <c r="A49" s="177" t="s">
        <v>26</v>
      </c>
      <c r="B49" s="221">
        <v>75.857142857142861</v>
      </c>
      <c r="C49" s="65" t="s">
        <v>61</v>
      </c>
      <c r="D49" s="220">
        <v>1</v>
      </c>
      <c r="E49" s="60" t="s">
        <v>127</v>
      </c>
      <c r="F49" s="572">
        <f t="shared" si="5"/>
        <v>75.857142857142861</v>
      </c>
      <c r="G49" s="577" t="s">
        <v>149</v>
      </c>
    </row>
    <row r="50" spans="1:7" x14ac:dyDescent="0.35">
      <c r="A50" s="177" t="s">
        <v>27</v>
      </c>
      <c r="B50" s="221">
        <v>18.95</v>
      </c>
      <c r="C50" s="65" t="s">
        <v>10</v>
      </c>
      <c r="D50" s="220">
        <v>1</v>
      </c>
      <c r="E50" s="60" t="s">
        <v>117</v>
      </c>
      <c r="F50" s="572">
        <f t="shared" si="5"/>
        <v>18.95</v>
      </c>
      <c r="G50" s="577" t="s">
        <v>1192</v>
      </c>
    </row>
    <row r="51" spans="1:7" x14ac:dyDescent="0.35">
      <c r="A51" s="177" t="s">
        <v>63</v>
      </c>
      <c r="B51" s="221">
        <v>895</v>
      </c>
      <c r="C51" s="65" t="s">
        <v>61</v>
      </c>
      <c r="D51" s="236">
        <v>1</v>
      </c>
      <c r="E51" s="60" t="s">
        <v>127</v>
      </c>
      <c r="F51" s="572">
        <f t="shared" si="5"/>
        <v>895</v>
      </c>
      <c r="G51" s="577" t="s">
        <v>149</v>
      </c>
    </row>
    <row r="52" spans="1:7" x14ac:dyDescent="0.35">
      <c r="A52" s="177" t="s">
        <v>64</v>
      </c>
      <c r="B52" s="221">
        <v>521</v>
      </c>
      <c r="C52" s="65" t="s">
        <v>61</v>
      </c>
      <c r="D52" s="236">
        <v>1</v>
      </c>
      <c r="E52" s="60" t="s">
        <v>127</v>
      </c>
      <c r="F52" s="572">
        <f t="shared" si="5"/>
        <v>521</v>
      </c>
      <c r="G52" s="577" t="s">
        <v>149</v>
      </c>
    </row>
    <row r="53" spans="1:7" x14ac:dyDescent="0.35">
      <c r="A53" s="177" t="s">
        <v>1208</v>
      </c>
      <c r="B53" s="221"/>
      <c r="C53" s="65"/>
      <c r="D53" s="236"/>
      <c r="E53" s="60"/>
      <c r="F53" s="572">
        <f t="shared" si="5"/>
        <v>0</v>
      </c>
      <c r="G53" s="577" t="s">
        <v>1192</v>
      </c>
    </row>
    <row r="54" spans="1:7" x14ac:dyDescent="0.35">
      <c r="A54" s="177"/>
      <c r="B54" s="1"/>
      <c r="C54" s="65"/>
      <c r="D54" s="50"/>
      <c r="E54" s="50"/>
      <c r="F54" s="572"/>
      <c r="G54" s="399"/>
    </row>
    <row r="55" spans="1:7" x14ac:dyDescent="0.35">
      <c r="A55" s="341" t="s">
        <v>87</v>
      </c>
      <c r="B55" s="1"/>
      <c r="C55" s="65"/>
      <c r="D55" s="50"/>
      <c r="E55" s="50"/>
      <c r="F55" s="575">
        <f>(F45+F46+F47+F50+F53)</f>
        <v>9755.9500000000007</v>
      </c>
      <c r="G55" s="549" t="s">
        <v>1192</v>
      </c>
    </row>
    <row r="56" spans="1:7" x14ac:dyDescent="0.35">
      <c r="A56" s="341" t="s">
        <v>105</v>
      </c>
      <c r="B56" s="5"/>
      <c r="C56" s="65"/>
      <c r="D56" s="11"/>
      <c r="E56" s="11"/>
      <c r="F56" s="575">
        <f>SUM(F48+F49+F51+F52)</f>
        <v>1572.8571428571429</v>
      </c>
      <c r="G56" s="549" t="s">
        <v>149</v>
      </c>
    </row>
    <row r="57" spans="1:7" x14ac:dyDescent="0.35">
      <c r="A57" s="177"/>
      <c r="B57" s="1"/>
      <c r="C57" s="65"/>
      <c r="D57" s="50"/>
      <c r="E57" s="50"/>
      <c r="F57" s="572"/>
      <c r="G57" s="579"/>
    </row>
    <row r="58" spans="1:7" x14ac:dyDescent="0.35">
      <c r="A58" s="140" t="s">
        <v>80</v>
      </c>
      <c r="B58" s="5"/>
      <c r="C58" s="65"/>
      <c r="D58" s="11"/>
      <c r="E58" s="11"/>
      <c r="F58" s="572"/>
      <c r="G58" s="399"/>
    </row>
    <row r="59" spans="1:7" x14ac:dyDescent="0.35">
      <c r="A59" s="177" t="s">
        <v>1271</v>
      </c>
      <c r="B59" s="221">
        <v>438</v>
      </c>
      <c r="C59" s="65" t="s">
        <v>10</v>
      </c>
      <c r="D59" s="220">
        <v>2</v>
      </c>
      <c r="E59" s="60" t="s">
        <v>117</v>
      </c>
      <c r="F59" s="572">
        <f>(D59*B59)</f>
        <v>876</v>
      </c>
      <c r="G59" s="399"/>
    </row>
    <row r="60" spans="1:7" x14ac:dyDescent="0.35">
      <c r="A60" s="341" t="s">
        <v>88</v>
      </c>
      <c r="B60" s="5"/>
      <c r="C60" s="65"/>
      <c r="D60" s="11"/>
      <c r="E60" s="11"/>
      <c r="F60" s="575">
        <f>SUM(F59:F59)</f>
        <v>876</v>
      </c>
      <c r="G60" s="549" t="s">
        <v>1192</v>
      </c>
    </row>
    <row r="61" spans="1:7" x14ac:dyDescent="0.35">
      <c r="A61" s="281"/>
      <c r="B61" s="5"/>
      <c r="C61" s="65"/>
      <c r="D61" s="11"/>
      <c r="E61" s="11"/>
      <c r="F61" s="572"/>
      <c r="G61" s="579"/>
    </row>
    <row r="62" spans="1:7" x14ac:dyDescent="0.35">
      <c r="A62" s="140" t="s">
        <v>81</v>
      </c>
      <c r="B62" s="5"/>
      <c r="C62" s="65"/>
      <c r="D62" s="11"/>
      <c r="E62" s="11"/>
      <c r="F62" s="572"/>
      <c r="G62" s="399"/>
    </row>
    <row r="63" spans="1:7" x14ac:dyDescent="0.35">
      <c r="A63" s="177" t="s">
        <v>108</v>
      </c>
      <c r="B63" s="221">
        <v>800</v>
      </c>
      <c r="C63" s="65" t="s">
        <v>10</v>
      </c>
      <c r="D63" s="220">
        <v>2</v>
      </c>
      <c r="E63" s="60" t="s">
        <v>117</v>
      </c>
      <c r="F63" s="572">
        <f>B63*D63</f>
        <v>1600</v>
      </c>
      <c r="G63" s="399"/>
    </row>
    <row r="64" spans="1:7" x14ac:dyDescent="0.35">
      <c r="A64" s="341" t="s">
        <v>89</v>
      </c>
      <c r="B64" s="5"/>
      <c r="C64" s="65"/>
      <c r="D64" s="11"/>
      <c r="E64" s="11"/>
      <c r="F64" s="575">
        <f>SUM(F63:F63)</f>
        <v>1600</v>
      </c>
      <c r="G64" s="404"/>
    </row>
    <row r="65" spans="1:7" x14ac:dyDescent="0.35">
      <c r="A65" s="281"/>
      <c r="B65" s="5"/>
      <c r="C65" s="65"/>
      <c r="D65" s="11"/>
      <c r="E65" s="11"/>
      <c r="F65" s="572"/>
      <c r="G65" s="399"/>
    </row>
    <row r="66" spans="1:7" x14ac:dyDescent="0.35">
      <c r="A66" s="140" t="s">
        <v>82</v>
      </c>
      <c r="B66" s="5"/>
      <c r="C66" s="65"/>
      <c r="D66" s="11"/>
      <c r="E66" s="11"/>
      <c r="F66" s="572"/>
      <c r="G66" s="399"/>
    </row>
    <row r="67" spans="1:7" x14ac:dyDescent="0.35">
      <c r="A67" s="341" t="s">
        <v>90</v>
      </c>
      <c r="B67" s="5"/>
      <c r="C67" s="65"/>
      <c r="D67" s="11"/>
      <c r="E67" s="11"/>
      <c r="F67" s="575"/>
      <c r="G67" s="549" t="s">
        <v>1192</v>
      </c>
    </row>
    <row r="68" spans="1:7" x14ac:dyDescent="0.35">
      <c r="A68" s="281"/>
      <c r="B68" s="5"/>
      <c r="C68" s="65"/>
      <c r="D68" s="11"/>
      <c r="E68" s="11"/>
      <c r="F68" s="572"/>
      <c r="G68" s="579"/>
    </row>
    <row r="69" spans="1:7" x14ac:dyDescent="0.35">
      <c r="A69" s="140" t="s">
        <v>83</v>
      </c>
      <c r="B69" s="5"/>
      <c r="C69" s="65"/>
      <c r="D69" s="11"/>
      <c r="E69" s="11"/>
      <c r="F69" s="572"/>
      <c r="G69" s="399"/>
    </row>
    <row r="70" spans="1:7" x14ac:dyDescent="0.35">
      <c r="A70" s="177" t="s">
        <v>84</v>
      </c>
      <c r="B70" s="221">
        <v>2500</v>
      </c>
      <c r="C70" s="65" t="s">
        <v>10</v>
      </c>
      <c r="D70" s="220">
        <v>1</v>
      </c>
      <c r="E70" s="60" t="s">
        <v>117</v>
      </c>
      <c r="F70" s="572">
        <f>(D70*B70)</f>
        <v>2500</v>
      </c>
      <c r="G70" s="399"/>
    </row>
    <row r="71" spans="1:7" x14ac:dyDescent="0.35">
      <c r="A71" s="406" t="s">
        <v>86</v>
      </c>
      <c r="B71" s="221">
        <v>500</v>
      </c>
      <c r="C71" s="65" t="s">
        <v>10</v>
      </c>
      <c r="D71" s="220">
        <v>1</v>
      </c>
      <c r="E71" s="60" t="s">
        <v>117</v>
      </c>
      <c r="F71" s="576">
        <f>D71*B71</f>
        <v>500</v>
      </c>
      <c r="G71" s="407"/>
    </row>
    <row r="72" spans="1:7" ht="15" thickBot="1" x14ac:dyDescent="0.4">
      <c r="A72" s="284" t="s">
        <v>91</v>
      </c>
      <c r="B72" s="305"/>
      <c r="C72" s="286"/>
      <c r="D72" s="306"/>
      <c r="E72" s="306"/>
      <c r="F72" s="574">
        <f>SUM(F69:F71)</f>
        <v>3000</v>
      </c>
      <c r="G72" s="568" t="s">
        <v>1192</v>
      </c>
    </row>
    <row r="73" spans="1:7" x14ac:dyDescent="0.35">
      <c r="A73" s="312"/>
      <c r="B73" s="397"/>
      <c r="C73" s="408"/>
      <c r="D73" s="249"/>
      <c r="E73" s="249"/>
      <c r="F73" s="250"/>
      <c r="G73" s="250"/>
    </row>
    <row r="74" spans="1:7" x14ac:dyDescent="0.35">
      <c r="A74" s="46" t="s">
        <v>387</v>
      </c>
      <c r="B74" s="45"/>
      <c r="C74" s="47"/>
      <c r="D74" s="249"/>
      <c r="E74" s="249"/>
      <c r="F74" s="41"/>
      <c r="G74" s="41"/>
    </row>
    <row r="75" spans="1:7" x14ac:dyDescent="0.35">
      <c r="A75" s="2"/>
      <c r="B75" s="1"/>
      <c r="C75" s="65"/>
      <c r="D75" s="249"/>
      <c r="E75" s="249"/>
      <c r="F75" s="250"/>
      <c r="G75" s="250"/>
    </row>
    <row r="76" spans="1:7" x14ac:dyDescent="0.35">
      <c r="A76" s="2" t="s">
        <v>67</v>
      </c>
      <c r="B76" s="238">
        <v>1200</v>
      </c>
      <c r="C76" s="65" t="s">
        <v>388</v>
      </c>
      <c r="D76" s="249"/>
      <c r="E76" s="249"/>
      <c r="F76" s="250"/>
      <c r="G76" s="250"/>
    </row>
    <row r="77" spans="1:7" x14ac:dyDescent="0.35">
      <c r="A77" s="2" t="s">
        <v>69</v>
      </c>
      <c r="B77" s="238">
        <v>300</v>
      </c>
      <c r="C77" s="65" t="s">
        <v>388</v>
      </c>
      <c r="D77" s="249"/>
      <c r="E77" s="249"/>
      <c r="F77" s="250"/>
      <c r="G77" s="250"/>
    </row>
    <row r="78" spans="1:7" x14ac:dyDescent="0.35">
      <c r="A78" s="2" t="s">
        <v>68</v>
      </c>
      <c r="B78" s="238">
        <v>100</v>
      </c>
      <c r="C78" s="65" t="s">
        <v>388</v>
      </c>
      <c r="D78" s="249"/>
      <c r="E78" s="249"/>
      <c r="F78" s="250"/>
      <c r="G78" s="250"/>
    </row>
    <row r="79" spans="1:7" x14ac:dyDescent="0.35">
      <c r="A79" s="2" t="s">
        <v>70</v>
      </c>
      <c r="B79" s="238">
        <v>80</v>
      </c>
      <c r="C79" s="65" t="s">
        <v>388</v>
      </c>
      <c r="D79" s="249"/>
      <c r="E79" s="249"/>
      <c r="F79" s="250"/>
      <c r="G79" s="250"/>
    </row>
    <row r="80" spans="1:7" ht="15" thickBot="1" x14ac:dyDescent="0.4">
      <c r="A80" s="179"/>
      <c r="B80" s="545"/>
      <c r="C80" s="546"/>
      <c r="D80" s="249"/>
      <c r="E80" s="249"/>
      <c r="F80" s="250"/>
      <c r="G80" s="250"/>
    </row>
    <row r="81" spans="1:7" x14ac:dyDescent="0.35">
      <c r="A81" s="394" t="s">
        <v>31</v>
      </c>
      <c r="B81" s="278" t="s">
        <v>28</v>
      </c>
      <c r="C81" s="278" t="s">
        <v>29</v>
      </c>
      <c r="D81" s="278" t="s">
        <v>65</v>
      </c>
      <c r="E81" s="278" t="s">
        <v>29</v>
      </c>
      <c r="F81" s="398" t="s">
        <v>30</v>
      </c>
      <c r="G81" s="569"/>
    </row>
    <row r="82" spans="1:7" x14ac:dyDescent="0.35">
      <c r="A82" s="380"/>
      <c r="B82" s="33"/>
      <c r="C82" s="34"/>
      <c r="D82" s="35"/>
      <c r="E82" s="35"/>
      <c r="F82" s="547"/>
      <c r="G82" s="41"/>
    </row>
    <row r="83" spans="1:7" ht="29" x14ac:dyDescent="0.35">
      <c r="A83" s="548" t="s">
        <v>128</v>
      </c>
      <c r="B83" s="234">
        <v>0.47</v>
      </c>
      <c r="C83" s="38" t="s">
        <v>44</v>
      </c>
      <c r="D83" s="235">
        <v>2000</v>
      </c>
      <c r="E83" s="38" t="s">
        <v>45</v>
      </c>
      <c r="F83" s="547">
        <f>D83*B83</f>
        <v>940</v>
      </c>
      <c r="G83" s="41"/>
    </row>
    <row r="84" spans="1:7" x14ac:dyDescent="0.35">
      <c r="A84" s="380" t="s">
        <v>42</v>
      </c>
      <c r="B84" s="234">
        <v>300</v>
      </c>
      <c r="C84" s="38" t="s">
        <v>10</v>
      </c>
      <c r="D84" s="235">
        <v>1</v>
      </c>
      <c r="E84" s="60" t="s">
        <v>117</v>
      </c>
      <c r="F84" s="547">
        <f>D84*B84</f>
        <v>300</v>
      </c>
      <c r="G84" s="41"/>
    </row>
    <row r="85" spans="1:7" x14ac:dyDescent="0.35">
      <c r="A85" s="380" t="s">
        <v>43</v>
      </c>
      <c r="B85" s="234">
        <v>100</v>
      </c>
      <c r="C85" s="38" t="s">
        <v>10</v>
      </c>
      <c r="D85" s="235">
        <v>1</v>
      </c>
      <c r="E85" s="60" t="s">
        <v>117</v>
      </c>
      <c r="F85" s="547">
        <f>D85*B85</f>
        <v>100</v>
      </c>
      <c r="G85" s="41"/>
    </row>
    <row r="86" spans="1:7" x14ac:dyDescent="0.35">
      <c r="A86" s="380" t="s">
        <v>47</v>
      </c>
      <c r="B86" s="234">
        <v>130</v>
      </c>
      <c r="C86" s="38" t="s">
        <v>10</v>
      </c>
      <c r="D86" s="235">
        <v>1</v>
      </c>
      <c r="E86" s="60" t="s">
        <v>117</v>
      </c>
      <c r="F86" s="547">
        <f>D86*B86</f>
        <v>130</v>
      </c>
      <c r="G86" s="41"/>
    </row>
    <row r="87" spans="1:7" x14ac:dyDescent="0.35">
      <c r="A87" s="380"/>
      <c r="B87" s="33"/>
      <c r="C87" s="34"/>
      <c r="D87" s="35"/>
      <c r="E87" s="35"/>
      <c r="F87" s="547"/>
      <c r="G87" s="41"/>
    </row>
    <row r="88" spans="1:7" x14ac:dyDescent="0.35">
      <c r="A88" s="341" t="s">
        <v>41</v>
      </c>
      <c r="B88" s="33"/>
      <c r="C88" s="34"/>
      <c r="D88" s="35"/>
      <c r="E88" s="35"/>
      <c r="F88" s="549">
        <f>SUM(F83:F86)</f>
        <v>1470</v>
      </c>
      <c r="G88" s="570"/>
    </row>
    <row r="89" spans="1:7" ht="15" thickBot="1" x14ac:dyDescent="0.4">
      <c r="A89" s="178"/>
      <c r="B89" s="305"/>
      <c r="C89" s="286"/>
      <c r="D89" s="550"/>
      <c r="E89" s="550"/>
      <c r="F89" s="551"/>
      <c r="G89" s="192"/>
    </row>
    <row r="90" spans="1:7" x14ac:dyDescent="0.35">
      <c r="F90" s="7"/>
      <c r="G90" s="7"/>
    </row>
    <row r="91" spans="1:7" x14ac:dyDescent="0.35">
      <c r="A91" t="s">
        <v>78</v>
      </c>
      <c r="F91" s="7"/>
      <c r="G91" s="7"/>
    </row>
    <row r="92" spans="1:7" x14ac:dyDescent="0.35">
      <c r="A92" s="10"/>
      <c r="F92" s="7"/>
      <c r="G92" s="7"/>
    </row>
    <row r="93" spans="1:7" x14ac:dyDescent="0.35">
      <c r="A93" t="s">
        <v>103</v>
      </c>
      <c r="F93" s="7"/>
      <c r="G93" s="7"/>
    </row>
    <row r="95" spans="1:7" x14ac:dyDescent="0.35">
      <c r="A95" t="s">
        <v>1240</v>
      </c>
    </row>
    <row r="97" spans="1:1" x14ac:dyDescent="0.35">
      <c r="A97" t="s">
        <v>104</v>
      </c>
    </row>
    <row r="99" spans="1:1" x14ac:dyDescent="0.35">
      <c r="A99" t="s">
        <v>1241</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75"/>
  <sheetViews>
    <sheetView tabSelected="1" topLeftCell="K43" zoomScaleNormal="100" workbookViewId="0">
      <selection activeCell="M56" sqref="M56"/>
    </sheetView>
  </sheetViews>
  <sheetFormatPr defaultRowHeight="14.5" x14ac:dyDescent="0.35"/>
  <cols>
    <col min="1" max="1" width="55" bestFit="1" customWidth="1"/>
    <col min="2" max="2" width="14.453125" customWidth="1"/>
    <col min="3" max="3" width="21.36328125" customWidth="1"/>
    <col min="4" max="4" width="13.36328125" customWidth="1"/>
    <col min="5" max="5" width="23.90625" customWidth="1"/>
    <col min="6" max="6" width="14.90625" customWidth="1"/>
    <col min="7" max="7" width="16.36328125" customWidth="1"/>
    <col min="10" max="10" width="56.453125" customWidth="1"/>
    <col min="11" max="11" width="12.54296875" customWidth="1"/>
    <col min="14" max="14" width="51.54296875" customWidth="1"/>
    <col min="15" max="15" width="16.90625" customWidth="1"/>
    <col min="16" max="16" width="7.54296875" customWidth="1"/>
    <col min="17" max="17" width="48" customWidth="1"/>
    <col min="18" max="18" width="17.08984375" customWidth="1"/>
    <col min="19" max="19" width="21.90625" customWidth="1"/>
    <col min="20" max="20" width="28.453125" customWidth="1"/>
    <col min="21" max="21" width="14.54296875" customWidth="1"/>
    <col min="22" max="22" width="18.453125" customWidth="1"/>
    <col min="23" max="23" width="10.08984375" customWidth="1"/>
    <col min="24" max="24" width="38.90625" customWidth="1"/>
    <col min="25" max="25" width="19.90625" customWidth="1"/>
    <col min="26" max="26" width="20" bestFit="1" customWidth="1"/>
    <col min="27" max="27" width="17.36328125" customWidth="1"/>
    <col min="28" max="28" width="5.36328125" customWidth="1"/>
    <col min="30" max="30" width="39.90625" bestFit="1" customWidth="1"/>
    <col min="31" max="31" width="19.6328125" customWidth="1"/>
    <col min="32" max="32" width="19.90625" customWidth="1"/>
    <col min="33" max="33" width="17" customWidth="1"/>
  </cols>
  <sheetData>
    <row r="1" spans="1:28" ht="21.5" thickBot="1" x14ac:dyDescent="0.55000000000000004">
      <c r="A1" s="70" t="s">
        <v>138</v>
      </c>
    </row>
    <row r="2" spans="1:28" ht="21" x14ac:dyDescent="0.5">
      <c r="A2" s="227"/>
    </row>
    <row r="3" spans="1:28" x14ac:dyDescent="0.35">
      <c r="A3" t="s">
        <v>632</v>
      </c>
    </row>
    <row r="4" spans="1:28" x14ac:dyDescent="0.35">
      <c r="A4" t="s">
        <v>1277</v>
      </c>
    </row>
    <row r="5" spans="1:28" ht="15" thickBot="1" x14ac:dyDescent="0.4"/>
    <row r="6" spans="1:28" x14ac:dyDescent="0.35">
      <c r="A6" s="277" t="s">
        <v>3</v>
      </c>
      <c r="B6" s="278" t="s">
        <v>28</v>
      </c>
      <c r="C6" s="278" t="s">
        <v>150</v>
      </c>
      <c r="D6" s="278" t="s">
        <v>65</v>
      </c>
      <c r="E6" s="278" t="s">
        <v>150</v>
      </c>
      <c r="F6" s="279" t="s">
        <v>30</v>
      </c>
      <c r="G6" s="280" t="s">
        <v>150</v>
      </c>
      <c r="H6" s="8"/>
    </row>
    <row r="7" spans="1:28" x14ac:dyDescent="0.35">
      <c r="A7" s="281"/>
      <c r="B7" s="1"/>
      <c r="C7" s="11"/>
      <c r="D7" s="65"/>
      <c r="E7" s="15"/>
      <c r="F7" s="28"/>
      <c r="G7" s="283"/>
      <c r="H7" s="8"/>
      <c r="I7" s="232"/>
      <c r="J7" t="s">
        <v>34</v>
      </c>
    </row>
    <row r="8" spans="1:28" x14ac:dyDescent="0.35">
      <c r="A8" s="298" t="s">
        <v>94</v>
      </c>
      <c r="B8" s="221">
        <v>11.87</v>
      </c>
      <c r="C8" s="11" t="s">
        <v>155</v>
      </c>
      <c r="D8" s="230">
        <v>12</v>
      </c>
      <c r="E8" s="65" t="s">
        <v>116</v>
      </c>
      <c r="F8" s="27">
        <f t="shared" ref="F8:F13" si="0">D8*B8*$D$14</f>
        <v>1709.28</v>
      </c>
      <c r="G8" s="283" t="s">
        <v>149</v>
      </c>
      <c r="H8" s="8"/>
      <c r="L8" s="58"/>
      <c r="N8" s="59"/>
      <c r="O8" s="6"/>
    </row>
    <row r="9" spans="1:28" x14ac:dyDescent="0.35">
      <c r="A9" s="298" t="s">
        <v>6</v>
      </c>
      <c r="B9" s="221">
        <v>17.510000000000002</v>
      </c>
      <c r="C9" s="11" t="s">
        <v>155</v>
      </c>
      <c r="D9" s="230">
        <v>1</v>
      </c>
      <c r="E9" s="65" t="s">
        <v>116</v>
      </c>
      <c r="F9" s="27">
        <f t="shared" si="0"/>
        <v>210.12</v>
      </c>
      <c r="G9" s="283" t="s">
        <v>149</v>
      </c>
      <c r="H9" s="8"/>
      <c r="I9" s="25"/>
      <c r="J9" t="s">
        <v>727</v>
      </c>
      <c r="L9" s="58"/>
      <c r="N9" s="59"/>
      <c r="O9" s="6"/>
    </row>
    <row r="10" spans="1:28" x14ac:dyDescent="0.35">
      <c r="A10" s="299" t="s">
        <v>93</v>
      </c>
      <c r="B10" s="221">
        <v>21.62</v>
      </c>
      <c r="C10" s="11" t="s">
        <v>155</v>
      </c>
      <c r="D10" s="230">
        <v>1</v>
      </c>
      <c r="E10" s="65" t="s">
        <v>116</v>
      </c>
      <c r="F10" s="27">
        <f t="shared" si="0"/>
        <v>259.44</v>
      </c>
      <c r="G10" s="283" t="s">
        <v>149</v>
      </c>
      <c r="H10" s="8"/>
      <c r="L10" s="58"/>
      <c r="N10" s="59"/>
      <c r="O10" s="6"/>
    </row>
    <row r="11" spans="1:28" x14ac:dyDescent="0.35">
      <c r="A11" s="299" t="s">
        <v>154</v>
      </c>
      <c r="B11" s="221">
        <v>19.829999999999998</v>
      </c>
      <c r="C11" s="11" t="s">
        <v>155</v>
      </c>
      <c r="D11" s="230">
        <v>0</v>
      </c>
      <c r="E11" s="65" t="s">
        <v>116</v>
      </c>
      <c r="F11" s="27">
        <f t="shared" si="0"/>
        <v>0</v>
      </c>
      <c r="G11" s="283" t="s">
        <v>149</v>
      </c>
      <c r="H11" s="8"/>
      <c r="I11" s="195"/>
      <c r="J11" t="s">
        <v>66</v>
      </c>
      <c r="L11" s="58"/>
      <c r="N11" s="59"/>
      <c r="O11" s="6"/>
    </row>
    <row r="12" spans="1:28" ht="15" thickBot="1" x14ac:dyDescent="0.4">
      <c r="A12" s="299" t="s">
        <v>153</v>
      </c>
      <c r="B12" s="221">
        <v>19.88</v>
      </c>
      <c r="C12" s="11" t="s">
        <v>155</v>
      </c>
      <c r="D12" s="230">
        <v>5</v>
      </c>
      <c r="E12" s="65" t="s">
        <v>116</v>
      </c>
      <c r="F12" s="27">
        <f t="shared" si="0"/>
        <v>1192.8</v>
      </c>
      <c r="G12" s="283" t="s">
        <v>149</v>
      </c>
      <c r="H12" s="8"/>
      <c r="K12" s="58"/>
      <c r="M12" s="59"/>
      <c r="N12" s="6"/>
    </row>
    <row r="13" spans="1:28" x14ac:dyDescent="0.35">
      <c r="A13" s="299" t="s">
        <v>95</v>
      </c>
      <c r="B13" s="221">
        <v>19.760000000000002</v>
      </c>
      <c r="C13" s="11" t="s">
        <v>155</v>
      </c>
      <c r="D13" s="230">
        <v>2</v>
      </c>
      <c r="E13" s="65" t="s">
        <v>116</v>
      </c>
      <c r="F13" s="27">
        <f t="shared" si="0"/>
        <v>474.24</v>
      </c>
      <c r="G13" s="283" t="s">
        <v>149</v>
      </c>
      <c r="H13" s="8"/>
      <c r="I13" s="137"/>
      <c r="J13" s="131"/>
      <c r="K13" s="131"/>
      <c r="L13" s="131"/>
      <c r="M13" s="131"/>
      <c r="N13" s="131"/>
      <c r="O13" s="131"/>
      <c r="P13" s="131"/>
      <c r="Q13" s="131"/>
      <c r="R13" s="131"/>
      <c r="S13" s="131"/>
      <c r="T13" s="131"/>
      <c r="U13" s="131"/>
      <c r="V13" s="131"/>
      <c r="W13" s="131"/>
      <c r="X13" s="131"/>
      <c r="Y13" s="131"/>
      <c r="Z13" s="131"/>
      <c r="AA13" s="131"/>
      <c r="AB13" s="132"/>
    </row>
    <row r="14" spans="1:28" ht="29" x14ac:dyDescent="0.35">
      <c r="A14" s="301" t="s">
        <v>132</v>
      </c>
      <c r="B14" s="5"/>
      <c r="C14" s="11"/>
      <c r="D14" s="230">
        <v>12</v>
      </c>
      <c r="E14" s="65" t="s">
        <v>118</v>
      </c>
      <c r="F14" s="111">
        <f>D14</f>
        <v>12</v>
      </c>
      <c r="G14" s="302" t="s">
        <v>118</v>
      </c>
      <c r="H14" s="8"/>
      <c r="I14" s="124" t="s">
        <v>656</v>
      </c>
      <c r="J14" s="8"/>
      <c r="K14" s="8"/>
      <c r="L14" s="8"/>
      <c r="M14" s="8"/>
      <c r="N14" s="8"/>
      <c r="O14" s="8"/>
      <c r="P14" s="8"/>
      <c r="Q14" s="8"/>
      <c r="R14" s="8"/>
      <c r="S14" s="8"/>
      <c r="T14" s="8"/>
      <c r="U14" s="8"/>
      <c r="V14" s="8"/>
      <c r="W14" s="8"/>
      <c r="X14" s="8"/>
      <c r="Y14" s="8"/>
      <c r="Z14" s="8"/>
      <c r="AA14" s="8"/>
      <c r="AB14" s="126"/>
    </row>
    <row r="15" spans="1:28" x14ac:dyDescent="0.35">
      <c r="A15" s="301" t="s">
        <v>162</v>
      </c>
      <c r="B15" s="221">
        <v>123</v>
      </c>
      <c r="C15" s="11" t="s">
        <v>157</v>
      </c>
      <c r="D15" s="230">
        <f>SUM(D8:D13)</f>
        <v>21</v>
      </c>
      <c r="E15" s="65" t="s">
        <v>116</v>
      </c>
      <c r="F15" s="115">
        <f>D15*B15</f>
        <v>2583</v>
      </c>
      <c r="G15" s="303" t="s">
        <v>149</v>
      </c>
      <c r="H15" s="8"/>
      <c r="I15" s="124"/>
      <c r="J15" s="8"/>
      <c r="K15" s="8"/>
      <c r="L15" s="8"/>
      <c r="M15" s="8"/>
      <c r="N15" s="8"/>
      <c r="O15" s="8"/>
      <c r="P15" s="8"/>
      <c r="Q15" s="8"/>
      <c r="R15" s="8"/>
      <c r="S15" s="8"/>
      <c r="T15" s="8"/>
      <c r="U15" s="8"/>
      <c r="V15" s="8"/>
      <c r="W15" s="8"/>
      <c r="X15" s="8"/>
      <c r="Y15" s="8"/>
      <c r="Z15" s="8"/>
      <c r="AA15" s="8"/>
      <c r="AB15" s="126"/>
    </row>
    <row r="16" spans="1:28" ht="15.5" x14ac:dyDescent="0.35">
      <c r="A16" s="281"/>
      <c r="B16" s="5"/>
      <c r="C16" s="11"/>
      <c r="D16" s="61"/>
      <c r="E16" s="15"/>
      <c r="F16" s="28"/>
      <c r="G16" s="283"/>
      <c r="H16" s="8"/>
      <c r="I16" s="233">
        <v>10</v>
      </c>
      <c r="J16" s="226" t="s">
        <v>654</v>
      </c>
      <c r="K16" s="8"/>
      <c r="L16" s="8"/>
      <c r="M16" s="8"/>
      <c r="N16" s="8"/>
      <c r="O16" s="8"/>
      <c r="P16" s="8"/>
      <c r="Q16" s="8"/>
      <c r="R16" s="8"/>
      <c r="S16" s="8"/>
      <c r="T16" s="8"/>
      <c r="U16" s="8"/>
      <c r="V16" s="8"/>
      <c r="W16" s="8"/>
      <c r="X16" s="8"/>
      <c r="Y16" s="8"/>
      <c r="Z16" s="8"/>
      <c r="AA16" s="8"/>
      <c r="AB16" s="126"/>
    </row>
    <row r="17" spans="1:28" ht="16" thickBot="1" x14ac:dyDescent="0.4">
      <c r="A17" s="304" t="s">
        <v>8</v>
      </c>
      <c r="B17" s="305"/>
      <c r="C17" s="306"/>
      <c r="D17" s="286"/>
      <c r="E17" s="307"/>
      <c r="F17" s="318">
        <f>SUM(F8:F13)+F15</f>
        <v>6428.88</v>
      </c>
      <c r="G17" s="290" t="s">
        <v>149</v>
      </c>
      <c r="H17" s="8"/>
      <c r="I17" s="233">
        <v>5</v>
      </c>
      <c r="J17" s="226" t="s">
        <v>812</v>
      </c>
      <c r="K17" s="8"/>
      <c r="L17" s="8"/>
      <c r="M17" s="8"/>
      <c r="N17" s="8"/>
      <c r="O17" s="8"/>
      <c r="P17" s="8"/>
      <c r="Q17" s="8"/>
      <c r="R17" s="8"/>
      <c r="S17" s="8"/>
      <c r="T17" s="8"/>
      <c r="U17" s="8"/>
      <c r="V17" s="8"/>
      <c r="W17" s="8"/>
      <c r="X17" s="8"/>
      <c r="Y17" s="8"/>
      <c r="Z17" s="8"/>
      <c r="AA17" s="8"/>
      <c r="AB17" s="126"/>
    </row>
    <row r="18" spans="1:28" ht="16" thickBot="1" x14ac:dyDescent="0.4">
      <c r="A18" s="291"/>
      <c r="B18" s="292"/>
      <c r="C18" s="293"/>
      <c r="D18" s="294"/>
      <c r="E18" s="295"/>
      <c r="F18" s="296"/>
      <c r="G18" s="297"/>
      <c r="H18" s="8"/>
      <c r="I18" s="245"/>
      <c r="J18" s="226"/>
      <c r="K18" s="8"/>
      <c r="L18" s="8"/>
      <c r="M18" s="8"/>
      <c r="N18" s="8"/>
      <c r="O18" s="8"/>
      <c r="P18" s="8"/>
      <c r="Q18" s="8"/>
      <c r="R18" s="8"/>
      <c r="S18" s="8"/>
      <c r="T18" s="8"/>
      <c r="U18" s="8"/>
      <c r="V18" s="8"/>
      <c r="W18" s="8"/>
      <c r="X18" s="8"/>
      <c r="Y18" s="8"/>
      <c r="Z18" s="8"/>
      <c r="AA18" s="8"/>
      <c r="AB18" s="126"/>
    </row>
    <row r="19" spans="1:28" ht="15.5" x14ac:dyDescent="0.35">
      <c r="A19" s="277" t="s">
        <v>601</v>
      </c>
      <c r="B19" s="278" t="s">
        <v>28</v>
      </c>
      <c r="C19" s="278" t="s">
        <v>150</v>
      </c>
      <c r="D19" s="278" t="s">
        <v>65</v>
      </c>
      <c r="E19" s="278" t="s">
        <v>150</v>
      </c>
      <c r="F19" s="279" t="s">
        <v>30</v>
      </c>
      <c r="G19" s="280" t="s">
        <v>150</v>
      </c>
      <c r="H19" s="215"/>
      <c r="I19" s="245"/>
      <c r="J19" s="175"/>
      <c r="K19" s="8"/>
      <c r="L19" s="8"/>
      <c r="M19" s="8"/>
      <c r="N19" s="8"/>
      <c r="O19" s="8"/>
      <c r="P19" s="8"/>
      <c r="Q19" s="8"/>
      <c r="R19" s="8"/>
      <c r="S19" s="8"/>
      <c r="T19" s="8"/>
      <c r="U19" s="8"/>
      <c r="V19" s="8"/>
      <c r="W19" s="8"/>
      <c r="X19" s="8"/>
      <c r="Y19" s="8"/>
      <c r="Z19" s="8"/>
      <c r="AA19" s="8"/>
      <c r="AB19" s="126"/>
    </row>
    <row r="20" spans="1:28" x14ac:dyDescent="0.35">
      <c r="A20" s="281"/>
      <c r="B20" s="282"/>
      <c r="C20" s="60"/>
      <c r="D20" s="61"/>
      <c r="E20" s="72"/>
      <c r="F20" s="75"/>
      <c r="G20" s="283"/>
      <c r="H20" s="8"/>
      <c r="I20" s="124"/>
      <c r="J20" s="8"/>
      <c r="K20" s="8"/>
      <c r="L20" s="8"/>
      <c r="M20" s="8"/>
      <c r="N20" s="8"/>
      <c r="O20" s="8"/>
      <c r="P20" s="8"/>
      <c r="Q20" s="8"/>
      <c r="R20" s="8"/>
      <c r="S20" s="8"/>
      <c r="T20" s="8"/>
      <c r="U20" s="8"/>
      <c r="V20" s="8"/>
      <c r="W20" s="8"/>
      <c r="X20" s="8"/>
      <c r="Y20" s="8"/>
      <c r="Z20" s="8"/>
      <c r="AA20" s="8"/>
      <c r="AB20" s="126"/>
    </row>
    <row r="21" spans="1:28" x14ac:dyDescent="0.35">
      <c r="A21" s="341" t="s">
        <v>11</v>
      </c>
      <c r="B21" s="231">
        <v>10.25</v>
      </c>
      <c r="C21" s="263" t="s">
        <v>120</v>
      </c>
      <c r="D21" s="230">
        <f>SUM(D8:D13)</f>
        <v>21</v>
      </c>
      <c r="E21" s="60" t="s">
        <v>156</v>
      </c>
      <c r="F21" s="115">
        <f>D21*B21</f>
        <v>215.25</v>
      </c>
      <c r="G21" s="303" t="s">
        <v>149</v>
      </c>
      <c r="H21" s="8"/>
      <c r="I21" s="124" t="s">
        <v>655</v>
      </c>
      <c r="J21" s="8"/>
      <c r="K21" s="8"/>
      <c r="L21" s="8"/>
      <c r="M21" s="8"/>
      <c r="N21" s="8"/>
      <c r="O21" s="8"/>
      <c r="P21" s="8"/>
      <c r="Q21" s="8"/>
      <c r="R21" s="8"/>
      <c r="S21" s="8"/>
      <c r="T21" s="8"/>
      <c r="U21" s="8"/>
      <c r="V21" s="8"/>
      <c r="W21" s="8"/>
      <c r="X21" s="8"/>
      <c r="Y21" s="8"/>
      <c r="Z21" s="8"/>
      <c r="AA21" s="8"/>
      <c r="AB21" s="126"/>
    </row>
    <row r="22" spans="1:28" x14ac:dyDescent="0.35">
      <c r="A22" s="423" t="s">
        <v>100</v>
      </c>
      <c r="B22" s="259">
        <v>20</v>
      </c>
      <c r="C22" s="258" t="s">
        <v>152</v>
      </c>
      <c r="D22" s="261">
        <v>260</v>
      </c>
      <c r="E22" s="257" t="s">
        <v>809</v>
      </c>
      <c r="F22" s="264">
        <f>D22*B22</f>
        <v>5200</v>
      </c>
      <c r="G22" s="424" t="s">
        <v>810</v>
      </c>
      <c r="I22" s="124" t="s">
        <v>415</v>
      </c>
      <c r="J22" s="8"/>
      <c r="K22" s="8"/>
      <c r="L22" s="8"/>
      <c r="M22" s="8"/>
      <c r="N22" s="8"/>
      <c r="O22" s="8"/>
      <c r="P22" s="8"/>
      <c r="Q22" s="8"/>
      <c r="R22" s="8"/>
      <c r="S22" s="8"/>
      <c r="T22" s="8"/>
      <c r="U22" s="8"/>
      <c r="V22" s="8"/>
      <c r="W22" s="8"/>
      <c r="X22" s="8"/>
      <c r="Y22" s="8"/>
      <c r="Z22" s="8"/>
      <c r="AA22" s="8"/>
      <c r="AB22" s="126"/>
    </row>
    <row r="23" spans="1:28" x14ac:dyDescent="0.35">
      <c r="A23" s="425" t="s">
        <v>821</v>
      </c>
      <c r="B23" s="259">
        <v>8.3000000000000007</v>
      </c>
      <c r="C23" s="258" t="s">
        <v>822</v>
      </c>
      <c r="D23" s="261">
        <v>275</v>
      </c>
      <c r="E23" s="257" t="s">
        <v>823</v>
      </c>
      <c r="F23" s="264">
        <f>D23*B23/50</f>
        <v>45.65</v>
      </c>
      <c r="G23" s="424" t="s">
        <v>810</v>
      </c>
      <c r="I23" s="124"/>
      <c r="J23" s="8"/>
      <c r="K23" s="8"/>
      <c r="L23" s="8"/>
      <c r="M23" s="8"/>
      <c r="N23" s="8"/>
      <c r="O23" s="8"/>
      <c r="P23" s="8"/>
      <c r="Q23" s="8"/>
      <c r="R23" s="8"/>
      <c r="S23" s="8"/>
      <c r="T23" s="8"/>
      <c r="U23" s="8"/>
      <c r="V23" s="8"/>
      <c r="W23" s="8"/>
      <c r="X23" s="8"/>
      <c r="Y23" s="8"/>
      <c r="Z23" s="8"/>
      <c r="AA23" s="8"/>
      <c r="AB23" s="126"/>
    </row>
    <row r="24" spans="1:28" ht="15" thickBot="1" x14ac:dyDescent="0.4">
      <c r="A24" s="299" t="s">
        <v>817</v>
      </c>
      <c r="B24" s="265">
        <v>340</v>
      </c>
      <c r="C24" s="258" t="s">
        <v>810</v>
      </c>
      <c r="D24" s="262"/>
      <c r="E24" s="56"/>
      <c r="F24" s="27">
        <f>B24</f>
        <v>340</v>
      </c>
      <c r="G24" s="424" t="s">
        <v>810</v>
      </c>
      <c r="I24" s="124"/>
      <c r="J24" s="8"/>
      <c r="K24" s="8"/>
      <c r="L24" s="8"/>
      <c r="M24" s="8"/>
      <c r="N24" s="8"/>
      <c r="O24" s="8"/>
      <c r="P24" s="8"/>
      <c r="Q24" s="8"/>
      <c r="R24" s="211" t="s">
        <v>475</v>
      </c>
      <c r="S24" s="211" t="s">
        <v>824</v>
      </c>
      <c r="T24" s="211" t="s">
        <v>474</v>
      </c>
      <c r="U24" s="211" t="s">
        <v>468</v>
      </c>
      <c r="V24" s="211" t="s">
        <v>30</v>
      </c>
      <c r="W24" s="8"/>
      <c r="X24" s="44" t="s">
        <v>472</v>
      </c>
      <c r="Y24" s="44" t="s">
        <v>473</v>
      </c>
      <c r="Z24" s="44" t="s">
        <v>480</v>
      </c>
      <c r="AA24" s="44" t="s">
        <v>75</v>
      </c>
      <c r="AB24" s="126"/>
    </row>
    <row r="25" spans="1:28" x14ac:dyDescent="0.35">
      <c r="A25" s="425" t="s">
        <v>811</v>
      </c>
      <c r="B25" s="260"/>
      <c r="C25" s="51"/>
      <c r="D25" s="262"/>
      <c r="E25" s="56"/>
      <c r="F25" s="27">
        <f t="shared" ref="F25:F26" si="1">B25</f>
        <v>0</v>
      </c>
      <c r="G25" s="125"/>
      <c r="I25" s="124"/>
      <c r="J25" s="176" t="s">
        <v>732</v>
      </c>
      <c r="K25" s="196">
        <f>(K51/($I$17*$I$16))</f>
        <v>120</v>
      </c>
      <c r="L25" s="123" t="s">
        <v>432</v>
      </c>
      <c r="M25" s="8"/>
      <c r="N25" s="176" t="s">
        <v>745</v>
      </c>
      <c r="O25" s="199">
        <f>$F$17*K25*$I$16</f>
        <v>7714656</v>
      </c>
      <c r="P25" s="8"/>
      <c r="Q25" s="176" t="s">
        <v>758</v>
      </c>
      <c r="R25" s="206">
        <f>($I$16*$F$21*K25)</f>
        <v>258300</v>
      </c>
      <c r="S25" s="519">
        <f>K51*$F$28</f>
        <v>33513899.999999996</v>
      </c>
      <c r="T25" s="519">
        <f>(($F$40*$I$16)*(K25/$K$40))+($F$41*$I$16*K25)</f>
        <v>4231101.4285714282</v>
      </c>
      <c r="U25" s="519">
        <f>($F$50*$I$16*(K25/$K$40))+($F$51*K25*$I$16)</f>
        <v>1285714.2857142857</v>
      </c>
      <c r="V25" s="520">
        <f>SUM(R25:U25)</f>
        <v>39289015.714285709</v>
      </c>
      <c r="W25" s="8"/>
      <c r="X25" s="2" t="s">
        <v>771</v>
      </c>
      <c r="Y25" s="205">
        <f>O25</f>
        <v>7714656</v>
      </c>
      <c r="Z25" s="205">
        <f>V25</f>
        <v>39289015.714285709</v>
      </c>
      <c r="AA25" s="205">
        <f>Y25+Z25</f>
        <v>47003671.714285709</v>
      </c>
      <c r="AB25" s="126"/>
    </row>
    <row r="26" spans="1:28" x14ac:dyDescent="0.35">
      <c r="A26" s="425" t="s">
        <v>1207</v>
      </c>
      <c r="B26" s="260"/>
      <c r="C26" s="51"/>
      <c r="D26" s="262"/>
      <c r="E26" s="56"/>
      <c r="F26" s="27">
        <f t="shared" si="1"/>
        <v>0</v>
      </c>
      <c r="G26" s="125"/>
      <c r="I26" s="124"/>
      <c r="J26" s="177" t="s">
        <v>733</v>
      </c>
      <c r="K26" s="197">
        <f t="shared" ref="K26:K33" si="2">(K52/($I$17*$I$16))</f>
        <v>0</v>
      </c>
      <c r="L26" s="125" t="s">
        <v>432</v>
      </c>
      <c r="M26" s="8"/>
      <c r="N26" s="177" t="s">
        <v>746</v>
      </c>
      <c r="O26" s="200">
        <f>$F$17*K26*$I$16</f>
        <v>0</v>
      </c>
      <c r="P26" s="8"/>
      <c r="Q26" s="177" t="s">
        <v>759</v>
      </c>
      <c r="R26" s="202">
        <f>($I$16*$F$21*K26)</f>
        <v>0</v>
      </c>
      <c r="S26" s="203">
        <f>K52*$F$28</f>
        <v>0</v>
      </c>
      <c r="T26" s="204">
        <f>(($F$40*$I$16)*(K26/$K$40))+($F$41*$I$16*K26)</f>
        <v>0</v>
      </c>
      <c r="U26" s="204">
        <f>($F$50*$I$16*(K26/$K$40))+($F$51*K26*$I$16)</f>
        <v>0</v>
      </c>
      <c r="V26" s="521">
        <f>SUM(R26:U26)</f>
        <v>0</v>
      </c>
      <c r="W26" s="8"/>
      <c r="X26" s="2" t="s">
        <v>772</v>
      </c>
      <c r="Y26" s="205">
        <f t="shared" ref="Y26:Y33" si="3">O26</f>
        <v>0</v>
      </c>
      <c r="Z26" s="205">
        <f>V26</f>
        <v>0</v>
      </c>
      <c r="AA26" s="205">
        <f>Y26+Z26</f>
        <v>0</v>
      </c>
      <c r="AB26" s="126"/>
    </row>
    <row r="27" spans="1:28" x14ac:dyDescent="0.35">
      <c r="A27" s="426"/>
      <c r="B27" s="53"/>
      <c r="C27" s="51"/>
      <c r="D27" s="52"/>
      <c r="E27" s="56"/>
      <c r="F27" s="11"/>
      <c r="G27" s="125"/>
      <c r="I27" s="124"/>
      <c r="J27" s="177" t="s">
        <v>734</v>
      </c>
      <c r="K27" s="197">
        <f t="shared" si="2"/>
        <v>0</v>
      </c>
      <c r="L27" s="125" t="s">
        <v>432</v>
      </c>
      <c r="M27" s="8"/>
      <c r="N27" s="177" t="s">
        <v>747</v>
      </c>
      <c r="O27" s="200">
        <f>$F$17*K27*$I$16</f>
        <v>0</v>
      </c>
      <c r="P27" s="8"/>
      <c r="Q27" s="177" t="s">
        <v>760</v>
      </c>
      <c r="R27" s="202">
        <f>($I$16*$F$21*K27)</f>
        <v>0</v>
      </c>
      <c r="S27" s="203">
        <f>K53*$F$28</f>
        <v>0</v>
      </c>
      <c r="T27" s="204">
        <f>(($F$40*$I$16)*(K27/$K$40))+($F$41*$I$16*K27)</f>
        <v>0</v>
      </c>
      <c r="U27" s="204">
        <f>($F$50*$I$16*(K27/$K$40))+($F$51*K27*$I$16)</f>
        <v>0</v>
      </c>
      <c r="V27" s="521">
        <f>SUM(R27:U27)</f>
        <v>0</v>
      </c>
      <c r="W27" s="8"/>
      <c r="X27" s="2" t="s">
        <v>773</v>
      </c>
      <c r="Y27" s="205">
        <f t="shared" si="3"/>
        <v>0</v>
      </c>
      <c r="Z27" s="205">
        <f>V27</f>
        <v>0</v>
      </c>
      <c r="AA27" s="205">
        <f>Y27+Z27</f>
        <v>0</v>
      </c>
      <c r="AB27" s="126"/>
    </row>
    <row r="28" spans="1:28" ht="15" thickBot="1" x14ac:dyDescent="0.4">
      <c r="A28" s="304" t="s">
        <v>653</v>
      </c>
      <c r="B28" s="415"/>
      <c r="C28" s="415"/>
      <c r="D28" s="415"/>
      <c r="E28" s="415"/>
      <c r="F28" s="325">
        <f>SUM(F22:F26)</f>
        <v>5585.65</v>
      </c>
      <c r="G28" s="427" t="s">
        <v>810</v>
      </c>
      <c r="I28" s="124"/>
      <c r="J28" s="177" t="s">
        <v>735</v>
      </c>
      <c r="K28" s="197">
        <f t="shared" si="2"/>
        <v>0</v>
      </c>
      <c r="L28" s="125" t="s">
        <v>432</v>
      </c>
      <c r="M28" s="8"/>
      <c r="N28" s="177" t="s">
        <v>748</v>
      </c>
      <c r="O28" s="200">
        <f>$F$17*K28*$I$16</f>
        <v>0</v>
      </c>
      <c r="P28" s="8"/>
      <c r="Q28" s="177" t="s">
        <v>761</v>
      </c>
      <c r="R28" s="202">
        <f>($I$16*$F$21*K28)</f>
        <v>0</v>
      </c>
      <c r="S28" s="203">
        <f>K54*$F$28</f>
        <v>0</v>
      </c>
      <c r="T28" s="204">
        <f>(($F$40*$I$16)*(K28/$K$40))+($F$41*$I$16*K28)</f>
        <v>0</v>
      </c>
      <c r="U28" s="204">
        <f>($F$50*$I$16*(K28/$K$40))+($F$51*K28*$I$16)</f>
        <v>0</v>
      </c>
      <c r="V28" s="521">
        <f>SUM(R28:U28)</f>
        <v>0</v>
      </c>
      <c r="W28" s="8"/>
      <c r="X28" s="2" t="s">
        <v>774</v>
      </c>
      <c r="Y28" s="205">
        <f t="shared" si="3"/>
        <v>0</v>
      </c>
      <c r="Z28" s="205">
        <f>V28</f>
        <v>0</v>
      </c>
      <c r="AA28" s="205">
        <f>Y28+Z28</f>
        <v>0</v>
      </c>
      <c r="AB28" s="126"/>
    </row>
    <row r="29" spans="1:28" ht="15" thickBot="1" x14ac:dyDescent="0.4">
      <c r="A29" s="421"/>
      <c r="B29" s="422"/>
      <c r="C29" s="422"/>
      <c r="D29" s="422"/>
      <c r="E29" s="422"/>
      <c r="F29" s="293"/>
      <c r="G29" s="319"/>
      <c r="I29" s="124"/>
      <c r="J29" s="124"/>
      <c r="K29" s="193"/>
      <c r="L29" s="126"/>
      <c r="M29" s="8"/>
      <c r="N29" s="124"/>
      <c r="O29" s="181"/>
      <c r="P29" s="8"/>
      <c r="Q29" s="124"/>
      <c r="R29" s="188"/>
      <c r="S29" s="188"/>
      <c r="T29" s="189"/>
      <c r="U29" s="8"/>
      <c r="V29" s="126"/>
      <c r="W29" s="8"/>
      <c r="X29" s="9"/>
      <c r="Y29" s="183"/>
      <c r="Z29" s="9"/>
      <c r="AA29" s="8"/>
      <c r="AB29" s="126"/>
    </row>
    <row r="30" spans="1:28" x14ac:dyDescent="0.35">
      <c r="A30" s="277" t="s">
        <v>20</v>
      </c>
      <c r="B30" s="278" t="s">
        <v>28</v>
      </c>
      <c r="C30" s="278" t="s">
        <v>150</v>
      </c>
      <c r="D30" s="278" t="s">
        <v>65</v>
      </c>
      <c r="E30" s="278" t="s">
        <v>150</v>
      </c>
      <c r="F30" s="279" t="s">
        <v>30</v>
      </c>
      <c r="G30" s="280" t="s">
        <v>150</v>
      </c>
      <c r="I30" s="124"/>
      <c r="J30" s="177" t="s">
        <v>736</v>
      </c>
      <c r="K30" s="197">
        <f t="shared" si="2"/>
        <v>160</v>
      </c>
      <c r="L30" s="125" t="s">
        <v>432</v>
      </c>
      <c r="M30" s="8"/>
      <c r="N30" s="177" t="s">
        <v>749</v>
      </c>
      <c r="O30" s="200">
        <f>$F$17*K30*$I$16</f>
        <v>10286208</v>
      </c>
      <c r="P30" s="8"/>
      <c r="Q30" s="177" t="s">
        <v>762</v>
      </c>
      <c r="R30" s="204">
        <f>($I$16*$F$21*K30)</f>
        <v>344400</v>
      </c>
      <c r="S30" s="204">
        <f>K56*$F$28</f>
        <v>44685200</v>
      </c>
      <c r="T30" s="204">
        <f>(($F$40*$I$16)*(K30/$K$40))+($F$41*$I$16*K30)</f>
        <v>5641468.5714285709</v>
      </c>
      <c r="U30" s="204">
        <f>($F$50*$I$16*(K30/$K$40))+($F$51*K30*$I$16)</f>
        <v>1714285.7142857143</v>
      </c>
      <c r="V30" s="521">
        <f>SUM(R30:U30)</f>
        <v>52385354.285714284</v>
      </c>
      <c r="W30" s="8"/>
      <c r="X30" s="2" t="s">
        <v>776</v>
      </c>
      <c r="Y30" s="205">
        <f t="shared" si="3"/>
        <v>10286208</v>
      </c>
      <c r="Z30" s="205">
        <f>V30</f>
        <v>52385354.285714284</v>
      </c>
      <c r="AA30" s="205">
        <f t="shared" ref="AA30:AA38" si="4">Y30+Z30</f>
        <v>62671562.285714284</v>
      </c>
      <c r="AB30" s="126"/>
    </row>
    <row r="31" spans="1:28" x14ac:dyDescent="0.35">
      <c r="A31" s="300"/>
      <c r="B31" s="51"/>
      <c r="C31" s="51"/>
      <c r="D31" s="51"/>
      <c r="E31" s="51"/>
      <c r="F31" s="2"/>
      <c r="G31" s="125"/>
      <c r="H31" s="8"/>
      <c r="I31" s="124"/>
      <c r="J31" s="177" t="s">
        <v>737</v>
      </c>
      <c r="K31" s="197">
        <f t="shared" si="2"/>
        <v>0</v>
      </c>
      <c r="L31" s="125" t="s">
        <v>432</v>
      </c>
      <c r="M31" s="8"/>
      <c r="N31" s="177" t="s">
        <v>750</v>
      </c>
      <c r="O31" s="200">
        <f>$F$17*K31*$I$16</f>
        <v>0</v>
      </c>
      <c r="P31" s="8"/>
      <c r="Q31" s="177" t="s">
        <v>763</v>
      </c>
      <c r="R31" s="202">
        <f>($I$16*$F$21*K31)</f>
        <v>0</v>
      </c>
      <c r="S31" s="204">
        <f>K57*$F$28</f>
        <v>0</v>
      </c>
      <c r="T31" s="204">
        <f>(($F$40*$I$16)*(K31/$K$40))+($F$41*$I$16*K31)</f>
        <v>0</v>
      </c>
      <c r="U31" s="204">
        <f>($F$50*$I$16*(K31/$K$40))+($F$51*K31*$I$16)</f>
        <v>0</v>
      </c>
      <c r="V31" s="521">
        <f>SUM(R31:U31)</f>
        <v>0</v>
      </c>
      <c r="W31" s="8"/>
      <c r="X31" s="2" t="s">
        <v>777</v>
      </c>
      <c r="Y31" s="205">
        <f t="shared" si="3"/>
        <v>0</v>
      </c>
      <c r="Z31" s="205">
        <f>V31</f>
        <v>0</v>
      </c>
      <c r="AA31" s="205">
        <f t="shared" si="4"/>
        <v>0</v>
      </c>
      <c r="AB31" s="126"/>
    </row>
    <row r="32" spans="1:28" x14ac:dyDescent="0.35">
      <c r="A32" s="419" t="s">
        <v>129</v>
      </c>
      <c r="B32" s="221">
        <v>35</v>
      </c>
      <c r="C32" s="11" t="s">
        <v>155</v>
      </c>
      <c r="D32" s="230">
        <f>F14</f>
        <v>12</v>
      </c>
      <c r="E32" s="11" t="s">
        <v>813</v>
      </c>
      <c r="F32" s="225">
        <f>D32*B32*8</f>
        <v>3360</v>
      </c>
      <c r="G32" s="410" t="s">
        <v>149</v>
      </c>
      <c r="H32" s="9"/>
      <c r="I32" s="124"/>
      <c r="J32" s="177" t="s">
        <v>738</v>
      </c>
      <c r="K32" s="197">
        <f t="shared" si="2"/>
        <v>0</v>
      </c>
      <c r="L32" s="125" t="s">
        <v>432</v>
      </c>
      <c r="M32" s="8"/>
      <c r="N32" s="177" t="s">
        <v>751</v>
      </c>
      <c r="O32" s="200">
        <f>$F$17*K32*$I$16</f>
        <v>0</v>
      </c>
      <c r="P32" s="8"/>
      <c r="Q32" s="177" t="s">
        <v>764</v>
      </c>
      <c r="R32" s="202">
        <f>($I$16*$F$21*K32)</f>
        <v>0</v>
      </c>
      <c r="S32" s="204">
        <f>K58*$F$28</f>
        <v>0</v>
      </c>
      <c r="T32" s="204">
        <f>(($F$40*$I$16)*(K32/$K$40))+($F$41*$I$16*K32)</f>
        <v>0</v>
      </c>
      <c r="U32" s="204">
        <f>($F$50*$I$16*(K32/$K$40))+($F$51*K32*$I$16)</f>
        <v>0</v>
      </c>
      <c r="V32" s="521">
        <f>SUM(R32:U32)</f>
        <v>0</v>
      </c>
      <c r="W32" s="8"/>
      <c r="X32" s="2" t="s">
        <v>778</v>
      </c>
      <c r="Y32" s="205">
        <f t="shared" si="3"/>
        <v>0</v>
      </c>
      <c r="Z32" s="205">
        <f>V32</f>
        <v>0</v>
      </c>
      <c r="AA32" s="205">
        <f t="shared" si="4"/>
        <v>0</v>
      </c>
      <c r="AB32" s="126"/>
    </row>
    <row r="33" spans="1:28" x14ac:dyDescent="0.35">
      <c r="A33" s="419" t="s">
        <v>366</v>
      </c>
      <c r="B33" s="221">
        <v>40</v>
      </c>
      <c r="C33" s="11" t="s">
        <v>120</v>
      </c>
      <c r="D33" s="220">
        <f>$I$17</f>
        <v>5</v>
      </c>
      <c r="E33" s="11" t="s">
        <v>117</v>
      </c>
      <c r="F33" s="225">
        <f>D33*B33</f>
        <v>200</v>
      </c>
      <c r="G33" s="410" t="s">
        <v>1192</v>
      </c>
      <c r="H33" s="9"/>
      <c r="I33" s="124"/>
      <c r="J33" s="177" t="s">
        <v>739</v>
      </c>
      <c r="K33" s="197">
        <f t="shared" si="2"/>
        <v>0</v>
      </c>
      <c r="L33" s="125" t="s">
        <v>432</v>
      </c>
      <c r="M33" s="8"/>
      <c r="N33" s="177" t="s">
        <v>752</v>
      </c>
      <c r="O33" s="200">
        <f>$F$17*K33*$I$16</f>
        <v>0</v>
      </c>
      <c r="P33" s="8"/>
      <c r="Q33" s="177" t="s">
        <v>765</v>
      </c>
      <c r="R33" s="202">
        <f>($I$16*$F$21*K33)</f>
        <v>0</v>
      </c>
      <c r="S33" s="204">
        <f>K59*$F$28</f>
        <v>0</v>
      </c>
      <c r="T33" s="204">
        <f>(($F$40*$I$16)*(K33/$K$40))+($F$41*$I$16*K33)</f>
        <v>0</v>
      </c>
      <c r="U33" s="204">
        <f>($F$50*$I$16*(K33/$K$40))+($F$51*K33*$I$16)</f>
        <v>0</v>
      </c>
      <c r="V33" s="521">
        <f>SUM(R33:U33)</f>
        <v>0</v>
      </c>
      <c r="W33" s="8"/>
      <c r="X33" s="2" t="s">
        <v>775</v>
      </c>
      <c r="Y33" s="205">
        <f t="shared" si="3"/>
        <v>0</v>
      </c>
      <c r="Z33" s="205">
        <f>V33</f>
        <v>0</v>
      </c>
      <c r="AA33" s="205">
        <f t="shared" si="4"/>
        <v>0</v>
      </c>
      <c r="AB33" s="126"/>
    </row>
    <row r="34" spans="1:28" x14ac:dyDescent="0.35">
      <c r="A34" s="419" t="s">
        <v>365</v>
      </c>
      <c r="B34" s="221">
        <v>30</v>
      </c>
      <c r="C34" s="11" t="s">
        <v>120</v>
      </c>
      <c r="D34" s="220">
        <f>$I$17</f>
        <v>5</v>
      </c>
      <c r="E34" s="11" t="s">
        <v>117</v>
      </c>
      <c r="F34" s="225">
        <f>D34*B34</f>
        <v>150</v>
      </c>
      <c r="G34" s="410" t="s">
        <v>1192</v>
      </c>
      <c r="I34" s="124"/>
      <c r="J34" s="124"/>
      <c r="K34" s="193"/>
      <c r="L34" s="126"/>
      <c r="M34" s="8"/>
      <c r="N34" s="124"/>
      <c r="O34" s="181"/>
      <c r="P34" s="8"/>
      <c r="Q34" s="124"/>
      <c r="R34" s="188"/>
      <c r="S34" s="188"/>
      <c r="T34" s="189"/>
      <c r="U34" s="8"/>
      <c r="V34" s="126"/>
      <c r="W34" s="8"/>
      <c r="X34" s="8"/>
      <c r="Y34" s="184"/>
      <c r="Z34" s="8"/>
      <c r="AA34" s="8"/>
      <c r="AB34" s="126"/>
    </row>
    <row r="35" spans="1:28" x14ac:dyDescent="0.35">
      <c r="A35" s="177" t="s">
        <v>23</v>
      </c>
      <c r="B35" s="221">
        <v>2187</v>
      </c>
      <c r="C35" s="65" t="s">
        <v>120</v>
      </c>
      <c r="D35" s="220">
        <v>1</v>
      </c>
      <c r="E35" s="60" t="s">
        <v>117</v>
      </c>
      <c r="F35" s="27">
        <f t="shared" ref="F35" si="5">D35*B35</f>
        <v>2187</v>
      </c>
      <c r="G35" s="410" t="s">
        <v>1192</v>
      </c>
      <c r="I35" s="124"/>
      <c r="J35" s="177" t="s">
        <v>740</v>
      </c>
      <c r="K35" s="197">
        <f>K30+K25</f>
        <v>280</v>
      </c>
      <c r="L35" s="125" t="s">
        <v>432</v>
      </c>
      <c r="M35" s="8"/>
      <c r="N35" s="177" t="s">
        <v>753</v>
      </c>
      <c r="O35" s="200">
        <f>O30+O25</f>
        <v>18000864</v>
      </c>
      <c r="P35" s="8"/>
      <c r="Q35" s="177" t="s">
        <v>766</v>
      </c>
      <c r="R35" s="204">
        <f>R30+R25</f>
        <v>602700</v>
      </c>
      <c r="S35" s="204">
        <f>S30+S25</f>
        <v>78199100</v>
      </c>
      <c r="T35" s="204">
        <f>T30+T25</f>
        <v>9872570</v>
      </c>
      <c r="U35" s="223">
        <f>U30+U25</f>
        <v>3000000</v>
      </c>
      <c r="V35" s="521">
        <f>SUM(R35:U35)</f>
        <v>91674370</v>
      </c>
      <c r="W35" s="8"/>
      <c r="X35" s="2" t="s">
        <v>779</v>
      </c>
      <c r="Y35" s="205">
        <f>O35</f>
        <v>18000864</v>
      </c>
      <c r="Z35" s="205">
        <f>V35</f>
        <v>91674370</v>
      </c>
      <c r="AA35" s="205">
        <f t="shared" si="4"/>
        <v>109675234</v>
      </c>
      <c r="AB35" s="126"/>
    </row>
    <row r="36" spans="1:28" x14ac:dyDescent="0.35">
      <c r="A36" s="177" t="s">
        <v>62</v>
      </c>
      <c r="B36" s="221">
        <v>81</v>
      </c>
      <c r="C36" s="65" t="s">
        <v>149</v>
      </c>
      <c r="D36" s="220">
        <v>1</v>
      </c>
      <c r="E36" s="60"/>
      <c r="F36" s="27">
        <f>B36*D36</f>
        <v>81</v>
      </c>
      <c r="G36" s="410" t="s">
        <v>149</v>
      </c>
      <c r="I36" s="124"/>
      <c r="J36" s="177" t="s">
        <v>741</v>
      </c>
      <c r="K36" s="197">
        <f>K31+K26</f>
        <v>0</v>
      </c>
      <c r="L36" s="125" t="s">
        <v>432</v>
      </c>
      <c r="M36" s="8"/>
      <c r="N36" s="177" t="s">
        <v>754</v>
      </c>
      <c r="O36" s="200">
        <f>O31+O26</f>
        <v>0</v>
      </c>
      <c r="P36" s="8"/>
      <c r="Q36" s="177" t="s">
        <v>767</v>
      </c>
      <c r="R36" s="204">
        <f t="shared" ref="R36:U38" si="6">R31+R26</f>
        <v>0</v>
      </c>
      <c r="S36" s="204">
        <f t="shared" si="6"/>
        <v>0</v>
      </c>
      <c r="T36" s="204">
        <f t="shared" si="6"/>
        <v>0</v>
      </c>
      <c r="U36" s="223">
        <f t="shared" si="6"/>
        <v>0</v>
      </c>
      <c r="V36" s="521">
        <f>SUM(R36:U36)</f>
        <v>0</v>
      </c>
      <c r="W36" s="8"/>
      <c r="X36" s="2" t="s">
        <v>780</v>
      </c>
      <c r="Y36" s="205">
        <f>O36</f>
        <v>0</v>
      </c>
      <c r="Z36" s="205">
        <f>V36</f>
        <v>0</v>
      </c>
      <c r="AA36" s="205">
        <f t="shared" si="4"/>
        <v>0</v>
      </c>
      <c r="AB36" s="126"/>
    </row>
    <row r="37" spans="1:28" x14ac:dyDescent="0.35">
      <c r="A37" s="177" t="s">
        <v>26</v>
      </c>
      <c r="B37" s="221">
        <v>75.857142857142861</v>
      </c>
      <c r="C37" s="65" t="s">
        <v>149</v>
      </c>
      <c r="D37" s="220">
        <v>1</v>
      </c>
      <c r="E37" s="60"/>
      <c r="F37" s="27">
        <f>B37*D37</f>
        <v>75.857142857142861</v>
      </c>
      <c r="G37" s="410" t="s">
        <v>149</v>
      </c>
      <c r="I37" s="124"/>
      <c r="J37" s="177" t="s">
        <v>742</v>
      </c>
      <c r="K37" s="197">
        <f>K32+K27</f>
        <v>0</v>
      </c>
      <c r="L37" s="125" t="s">
        <v>432</v>
      </c>
      <c r="M37" s="8"/>
      <c r="N37" s="177" t="s">
        <v>755</v>
      </c>
      <c r="O37" s="200">
        <f>O32+O27</f>
        <v>0</v>
      </c>
      <c r="P37" s="8"/>
      <c r="Q37" s="177" t="s">
        <v>768</v>
      </c>
      <c r="R37" s="204">
        <f t="shared" si="6"/>
        <v>0</v>
      </c>
      <c r="S37" s="204">
        <f t="shared" si="6"/>
        <v>0</v>
      </c>
      <c r="T37" s="204">
        <f t="shared" si="6"/>
        <v>0</v>
      </c>
      <c r="U37" s="223">
        <f t="shared" si="6"/>
        <v>0</v>
      </c>
      <c r="V37" s="521">
        <f>SUM(R37:U37)</f>
        <v>0</v>
      </c>
      <c r="W37" s="8"/>
      <c r="X37" s="2" t="s">
        <v>781</v>
      </c>
      <c r="Y37" s="205">
        <f>O37</f>
        <v>0</v>
      </c>
      <c r="Z37" s="205">
        <f>V37</f>
        <v>0</v>
      </c>
      <c r="AA37" s="205">
        <f t="shared" si="4"/>
        <v>0</v>
      </c>
      <c r="AB37" s="126"/>
    </row>
    <row r="38" spans="1:28" x14ac:dyDescent="0.35">
      <c r="A38" s="177" t="s">
        <v>1208</v>
      </c>
      <c r="B38" s="221"/>
      <c r="C38" s="65"/>
      <c r="D38" s="220"/>
      <c r="E38" s="60"/>
      <c r="F38" s="27">
        <f>B38*D38</f>
        <v>0</v>
      </c>
      <c r="G38" s="410"/>
      <c r="I38" s="124"/>
      <c r="J38" s="177" t="s">
        <v>743</v>
      </c>
      <c r="K38" s="197">
        <f>K33+K28</f>
        <v>0</v>
      </c>
      <c r="L38" s="125" t="s">
        <v>432</v>
      </c>
      <c r="M38" s="8"/>
      <c r="N38" s="177" t="s">
        <v>756</v>
      </c>
      <c r="O38" s="200">
        <f>O33+O28</f>
        <v>0</v>
      </c>
      <c r="P38" s="8"/>
      <c r="Q38" s="177" t="s">
        <v>769</v>
      </c>
      <c r="R38" s="204">
        <f t="shared" si="6"/>
        <v>0</v>
      </c>
      <c r="S38" s="204">
        <f t="shared" si="6"/>
        <v>0</v>
      </c>
      <c r="T38" s="204">
        <f t="shared" si="6"/>
        <v>0</v>
      </c>
      <c r="U38" s="223">
        <f t="shared" si="6"/>
        <v>0</v>
      </c>
      <c r="V38" s="521">
        <f>SUM(R38:U38)</f>
        <v>0</v>
      </c>
      <c r="W38" s="8"/>
      <c r="X38" s="2" t="s">
        <v>782</v>
      </c>
      <c r="Y38" s="205">
        <f>O38</f>
        <v>0</v>
      </c>
      <c r="Z38" s="205">
        <f>V38</f>
        <v>0</v>
      </c>
      <c r="AA38" s="205">
        <f t="shared" si="4"/>
        <v>0</v>
      </c>
      <c r="AB38" s="126"/>
    </row>
    <row r="39" spans="1:28" x14ac:dyDescent="0.35">
      <c r="A39" s="177"/>
      <c r="B39" s="1"/>
      <c r="C39" s="65"/>
      <c r="D39" s="50"/>
      <c r="E39" s="50"/>
      <c r="F39" s="3"/>
      <c r="G39" s="125"/>
      <c r="I39" s="124"/>
      <c r="J39" s="124"/>
      <c r="K39" s="193"/>
      <c r="L39" s="126"/>
      <c r="M39" s="8"/>
      <c r="N39" s="124"/>
      <c r="O39" s="181"/>
      <c r="P39" s="8"/>
      <c r="Q39" s="177"/>
      <c r="R39" s="185"/>
      <c r="S39" s="186"/>
      <c r="T39" s="186"/>
      <c r="U39" s="186"/>
      <c r="V39" s="522"/>
      <c r="W39" s="8"/>
      <c r="X39" s="2"/>
      <c r="Y39" s="182"/>
      <c r="Z39" s="2"/>
      <c r="AA39" s="2"/>
      <c r="AB39" s="126"/>
    </row>
    <row r="40" spans="1:28" ht="15" thickBot="1" x14ac:dyDescent="0.4">
      <c r="A40" s="341" t="s">
        <v>87</v>
      </c>
      <c r="B40" s="1"/>
      <c r="C40" s="65"/>
      <c r="D40" s="50"/>
      <c r="E40" s="50"/>
      <c r="F40" s="30">
        <f>F33+F34+F35+F38</f>
        <v>2537</v>
      </c>
      <c r="G40" s="420" t="s">
        <v>1192</v>
      </c>
      <c r="I40" s="124"/>
      <c r="J40" s="178" t="s">
        <v>744</v>
      </c>
      <c r="K40" s="198">
        <f>SUM(K35:K38)</f>
        <v>280</v>
      </c>
      <c r="L40" s="129" t="s">
        <v>432</v>
      </c>
      <c r="M40" s="8"/>
      <c r="N40" s="178" t="s">
        <v>757</v>
      </c>
      <c r="O40" s="201">
        <f>SUM(O35:O38)</f>
        <v>18000864</v>
      </c>
      <c r="P40" s="8"/>
      <c r="Q40" s="395" t="s">
        <v>770</v>
      </c>
      <c r="R40" s="523">
        <f>SUM(R35:R38)</f>
        <v>602700</v>
      </c>
      <c r="S40" s="524">
        <f>SUM(S35:S38)</f>
        <v>78199100</v>
      </c>
      <c r="T40" s="524">
        <f>SUM(T35:T38)</f>
        <v>9872570</v>
      </c>
      <c r="U40" s="524">
        <f>SUM(U35:U38)</f>
        <v>3000000</v>
      </c>
      <c r="V40" s="526">
        <f>SUM(R40:U40)</f>
        <v>91674370</v>
      </c>
      <c r="W40" s="8"/>
      <c r="X40" s="4" t="s">
        <v>1039</v>
      </c>
      <c r="Y40" s="208">
        <f>SUM(Y35:Y38)</f>
        <v>18000864</v>
      </c>
      <c r="Z40" s="208">
        <f>SUM(Z35:Z38)</f>
        <v>91674370</v>
      </c>
      <c r="AA40" s="208">
        <f>SUM(AA35:AA38)</f>
        <v>109675234</v>
      </c>
      <c r="AB40" s="126"/>
    </row>
    <row r="41" spans="1:28" ht="15" thickBot="1" x14ac:dyDescent="0.4">
      <c r="A41" s="284" t="s">
        <v>105</v>
      </c>
      <c r="B41" s="305"/>
      <c r="C41" s="286"/>
      <c r="D41" s="306"/>
      <c r="E41" s="306"/>
      <c r="F41" s="289">
        <f>F32+F36+F37</f>
        <v>3516.8571428571427</v>
      </c>
      <c r="G41" s="290" t="s">
        <v>149</v>
      </c>
      <c r="I41" s="124"/>
      <c r="J41" s="8"/>
      <c r="K41" s="8"/>
      <c r="L41" s="8"/>
      <c r="M41" s="8"/>
      <c r="N41" s="8"/>
      <c r="O41" s="8"/>
      <c r="P41" s="8"/>
      <c r="Q41" s="8"/>
      <c r="R41" s="8"/>
      <c r="S41" s="8"/>
      <c r="T41" s="8"/>
      <c r="U41" s="8"/>
      <c r="V41" s="8"/>
      <c r="W41" s="8"/>
      <c r="X41" s="8"/>
      <c r="Y41" s="8"/>
      <c r="Z41" s="8"/>
      <c r="AA41" s="8"/>
      <c r="AB41" s="126"/>
    </row>
    <row r="42" spans="1:28" ht="15" thickBot="1" x14ac:dyDescent="0.4">
      <c r="A42" s="242"/>
      <c r="B42" s="292"/>
      <c r="C42" s="391"/>
      <c r="D42" s="417"/>
      <c r="E42" s="417"/>
      <c r="F42" s="418"/>
      <c r="G42" s="319"/>
      <c r="I42" s="124"/>
      <c r="J42" s="9"/>
      <c r="K42" s="9"/>
      <c r="L42" s="9"/>
      <c r="M42" s="8"/>
      <c r="N42" s="9"/>
      <c r="O42" s="9"/>
      <c r="P42" s="8"/>
      <c r="Q42" s="8"/>
      <c r="R42" s="8"/>
      <c r="S42" s="8"/>
      <c r="T42" s="8"/>
      <c r="U42" s="8"/>
      <c r="V42" s="184"/>
      <c r="W42" s="8"/>
      <c r="X42" s="8"/>
      <c r="Y42" s="8"/>
      <c r="Z42" s="8"/>
      <c r="AA42" s="8"/>
      <c r="AB42" s="126"/>
    </row>
    <row r="43" spans="1:28" x14ac:dyDescent="0.35">
      <c r="A43" s="277" t="s">
        <v>31</v>
      </c>
      <c r="B43" s="278" t="s">
        <v>28</v>
      </c>
      <c r="C43" s="278" t="s">
        <v>150</v>
      </c>
      <c r="D43" s="278" t="s">
        <v>65</v>
      </c>
      <c r="E43" s="278" t="s">
        <v>150</v>
      </c>
      <c r="F43" s="279" t="s">
        <v>30</v>
      </c>
      <c r="G43" s="280" t="s">
        <v>150</v>
      </c>
      <c r="I43" s="190"/>
      <c r="J43" s="8"/>
      <c r="K43" s="250"/>
      <c r="L43" s="8"/>
      <c r="M43" s="8"/>
      <c r="N43" s="8"/>
      <c r="O43" s="192"/>
      <c r="P43" s="8"/>
      <c r="Q43" s="8"/>
      <c r="R43" s="8"/>
      <c r="S43" s="8"/>
      <c r="T43" s="8"/>
      <c r="U43" s="8"/>
      <c r="V43" s="8"/>
      <c r="W43" s="8"/>
      <c r="X43" s="8"/>
      <c r="Y43" s="8"/>
      <c r="Z43" s="8"/>
      <c r="AA43" s="8"/>
      <c r="AB43" s="126"/>
    </row>
    <row r="44" spans="1:28" x14ac:dyDescent="0.35">
      <c r="A44" s="339"/>
      <c r="B44" s="73"/>
      <c r="C44" s="73"/>
      <c r="D44" s="73"/>
      <c r="E44" s="81"/>
      <c r="F44" s="110"/>
      <c r="G44" s="334"/>
      <c r="H44" s="103"/>
      <c r="I44" s="124"/>
      <c r="J44" s="8"/>
      <c r="K44" s="9"/>
      <c r="L44" s="8"/>
      <c r="M44" s="8"/>
      <c r="N44" s="8"/>
      <c r="O44" s="192"/>
      <c r="P44" s="8"/>
      <c r="Q44" s="8"/>
      <c r="R44" s="8"/>
      <c r="S44" s="8"/>
      <c r="T44" s="8"/>
      <c r="U44" s="8"/>
      <c r="V44" s="8"/>
      <c r="W44" s="8"/>
      <c r="X44" s="8"/>
      <c r="Y44" s="8"/>
      <c r="Z44" s="8"/>
      <c r="AA44" s="8"/>
      <c r="AB44" s="126"/>
    </row>
    <row r="45" spans="1:28" ht="29" x14ac:dyDescent="0.35">
      <c r="A45" s="340" t="s">
        <v>390</v>
      </c>
      <c r="B45" s="234">
        <v>0.47</v>
      </c>
      <c r="C45" s="38" t="s">
        <v>44</v>
      </c>
      <c r="D45" s="230">
        <v>2000</v>
      </c>
      <c r="E45" s="38" t="s">
        <v>825</v>
      </c>
      <c r="F45" s="36">
        <f>D45*B45</f>
        <v>940</v>
      </c>
      <c r="G45" s="410" t="s">
        <v>149</v>
      </c>
      <c r="H45" s="8"/>
      <c r="I45" s="124"/>
      <c r="J45" s="8"/>
      <c r="K45" s="8"/>
      <c r="L45" s="8"/>
      <c r="M45" s="8"/>
      <c r="N45" s="8"/>
      <c r="O45" s="8"/>
      <c r="P45" s="8"/>
      <c r="Q45" s="8" t="s">
        <v>467</v>
      </c>
      <c r="R45" s="8"/>
      <c r="S45" s="8"/>
      <c r="T45" s="8"/>
      <c r="U45" s="8"/>
      <c r="V45" s="8"/>
      <c r="W45" s="8"/>
      <c r="X45" s="8"/>
      <c r="Y45" s="8"/>
      <c r="Z45" s="8"/>
      <c r="AA45" s="8"/>
      <c r="AB45" s="126"/>
    </row>
    <row r="46" spans="1:28" ht="15" thickBot="1" x14ac:dyDescent="0.4">
      <c r="A46" s="380" t="s">
        <v>42</v>
      </c>
      <c r="B46" s="234">
        <v>300</v>
      </c>
      <c r="C46" s="38" t="s">
        <v>10</v>
      </c>
      <c r="D46" s="230">
        <v>1</v>
      </c>
      <c r="E46" s="60" t="s">
        <v>117</v>
      </c>
      <c r="F46" s="36">
        <f>D46*B46</f>
        <v>300</v>
      </c>
      <c r="G46" s="411" t="s">
        <v>376</v>
      </c>
      <c r="I46" s="127"/>
      <c r="J46" s="133"/>
      <c r="K46" s="133"/>
      <c r="L46" s="133"/>
      <c r="M46" s="133"/>
      <c r="N46" s="133"/>
      <c r="O46" s="133"/>
      <c r="P46" s="133"/>
      <c r="Q46" s="133"/>
      <c r="R46" s="133"/>
      <c r="S46" s="133"/>
      <c r="T46" s="133"/>
      <c r="U46" s="133"/>
      <c r="V46" s="133"/>
      <c r="W46" s="133"/>
      <c r="X46" s="133"/>
      <c r="Y46" s="133"/>
      <c r="Z46" s="133"/>
      <c r="AA46" s="133"/>
      <c r="AB46" s="134"/>
    </row>
    <row r="47" spans="1:28" x14ac:dyDescent="0.35">
      <c r="A47" s="380" t="s">
        <v>43</v>
      </c>
      <c r="B47" s="234">
        <v>100</v>
      </c>
      <c r="C47" s="38" t="s">
        <v>10</v>
      </c>
      <c r="D47" s="230">
        <v>1</v>
      </c>
      <c r="E47" s="60" t="s">
        <v>117</v>
      </c>
      <c r="F47" s="36">
        <f>D47*B47</f>
        <v>100</v>
      </c>
      <c r="G47" s="411" t="s">
        <v>376</v>
      </c>
      <c r="H47" s="8"/>
    </row>
    <row r="48" spans="1:28" x14ac:dyDescent="0.35">
      <c r="A48" s="380" t="s">
        <v>47</v>
      </c>
      <c r="B48" s="234">
        <v>130</v>
      </c>
      <c r="C48" s="38" t="s">
        <v>10</v>
      </c>
      <c r="D48" s="230">
        <v>1</v>
      </c>
      <c r="E48" s="60" t="s">
        <v>117</v>
      </c>
      <c r="F48" s="36">
        <f>D48*B48</f>
        <v>130</v>
      </c>
      <c r="G48" s="411" t="s">
        <v>376</v>
      </c>
    </row>
    <row r="49" spans="1:14" x14ac:dyDescent="0.35">
      <c r="A49" s="412" t="s">
        <v>101</v>
      </c>
      <c r="B49" s="51"/>
      <c r="C49" s="51"/>
      <c r="D49" s="51"/>
      <c r="E49" s="51"/>
      <c r="F49" s="2"/>
      <c r="G49" s="125"/>
      <c r="J49" t="s">
        <v>784</v>
      </c>
    </row>
    <row r="50" spans="1:14" x14ac:dyDescent="0.35">
      <c r="A50" s="413" t="s">
        <v>829</v>
      </c>
      <c r="B50" s="51"/>
      <c r="C50" s="51"/>
      <c r="D50" s="51"/>
      <c r="E50" s="51"/>
      <c r="F50" s="49">
        <f>F46+F47</f>
        <v>400</v>
      </c>
      <c r="G50" s="342" t="s">
        <v>376</v>
      </c>
    </row>
    <row r="51" spans="1:14" ht="15" thickBot="1" x14ac:dyDescent="0.4">
      <c r="A51" s="414" t="s">
        <v>830</v>
      </c>
      <c r="B51" s="415"/>
      <c r="C51" s="415"/>
      <c r="D51" s="415"/>
      <c r="E51" s="415"/>
      <c r="F51" s="416">
        <f>F45+F48</f>
        <v>1070</v>
      </c>
      <c r="G51" s="290" t="s">
        <v>149</v>
      </c>
      <c r="J51" s="2" t="s">
        <v>785</v>
      </c>
      <c r="K51" s="15">
        <f>(GIS_inputs!C50/65)</f>
        <v>6000</v>
      </c>
      <c r="M51" t="s">
        <v>1285</v>
      </c>
    </row>
    <row r="52" spans="1:14" x14ac:dyDescent="0.35">
      <c r="A52" s="54"/>
      <c r="B52" s="54"/>
      <c r="C52" s="54"/>
      <c r="D52" s="54"/>
      <c r="E52" s="54"/>
      <c r="J52" s="2" t="s">
        <v>786</v>
      </c>
      <c r="K52" s="15">
        <f>(GIS_inputs!C51/130)</f>
        <v>0</v>
      </c>
    </row>
    <row r="53" spans="1:14" x14ac:dyDescent="0.35">
      <c r="A53" s="55" t="s">
        <v>96</v>
      </c>
      <c r="B53" s="54"/>
      <c r="C53" s="54"/>
      <c r="D53" s="54"/>
      <c r="E53" s="54"/>
      <c r="J53" s="2" t="s">
        <v>787</v>
      </c>
      <c r="K53" s="15">
        <f>(GIS_inputs!C52/390)</f>
        <v>0</v>
      </c>
      <c r="M53">
        <f>K51*65</f>
        <v>390000</v>
      </c>
      <c r="N53" t="s">
        <v>1286</v>
      </c>
    </row>
    <row r="54" spans="1:14" x14ac:dyDescent="0.35">
      <c r="A54" s="54" t="s">
        <v>97</v>
      </c>
      <c r="B54" s="54"/>
      <c r="C54" s="54"/>
      <c r="D54" s="54"/>
      <c r="E54" s="54"/>
      <c r="J54" s="2" t="s">
        <v>788</v>
      </c>
      <c r="K54" s="15">
        <f>(GIS_inputs!C53/490)</f>
        <v>0</v>
      </c>
    </row>
    <row r="55" spans="1:14" x14ac:dyDescent="0.35">
      <c r="A55" s="54" t="s">
        <v>98</v>
      </c>
      <c r="B55" s="54"/>
      <c r="C55" s="54"/>
      <c r="D55" s="54"/>
      <c r="E55" s="54"/>
      <c r="M55">
        <f>47000000/390000000</f>
        <v>0.12051282051282051</v>
      </c>
      <c r="N55" t="s">
        <v>1287</v>
      </c>
    </row>
    <row r="56" spans="1:14" x14ac:dyDescent="0.35">
      <c r="A56" s="54" t="s">
        <v>99</v>
      </c>
      <c r="B56" s="54"/>
      <c r="C56" s="54"/>
      <c r="D56" s="54"/>
      <c r="E56" s="54"/>
      <c r="J56" s="2" t="s">
        <v>789</v>
      </c>
      <c r="K56" s="15">
        <f>(GIS_inputs!C121/65)</f>
        <v>8000</v>
      </c>
    </row>
    <row r="57" spans="1:14" x14ac:dyDescent="0.35">
      <c r="A57" s="10" t="s">
        <v>102</v>
      </c>
      <c r="B57" s="54"/>
      <c r="C57" s="54"/>
      <c r="D57" s="54"/>
      <c r="E57" s="54"/>
      <c r="J57" s="2" t="s">
        <v>790</v>
      </c>
      <c r="K57" s="15">
        <f>(GIS_inputs!C122/130)</f>
        <v>0</v>
      </c>
    </row>
    <row r="58" spans="1:14" x14ac:dyDescent="0.35">
      <c r="A58" s="10"/>
      <c r="B58" s="54"/>
      <c r="C58" s="54"/>
      <c r="D58" s="54"/>
      <c r="E58" s="54"/>
      <c r="J58" s="2" t="s">
        <v>791</v>
      </c>
      <c r="K58" s="15">
        <f>(GIS_inputs!C123/390)</f>
        <v>0</v>
      </c>
    </row>
    <row r="59" spans="1:14" x14ac:dyDescent="0.35">
      <c r="J59" s="2" t="s">
        <v>792</v>
      </c>
      <c r="K59" s="15">
        <f>(GIS_inputs!C124/490)</f>
        <v>0</v>
      </c>
    </row>
    <row r="61" spans="1:14" x14ac:dyDescent="0.35">
      <c r="A61" s="55" t="s">
        <v>633</v>
      </c>
      <c r="J61" s="2" t="s">
        <v>793</v>
      </c>
      <c r="K61" s="15">
        <f>K56+K51</f>
        <v>14000</v>
      </c>
    </row>
    <row r="62" spans="1:14" x14ac:dyDescent="0.35">
      <c r="J62" s="2" t="s">
        <v>794</v>
      </c>
      <c r="K62" s="15">
        <f t="shared" ref="K62:K64" si="7">K57+K52</f>
        <v>0</v>
      </c>
    </row>
    <row r="63" spans="1:14" x14ac:dyDescent="0.35">
      <c r="A63" t="s">
        <v>634</v>
      </c>
      <c r="J63" s="2" t="s">
        <v>795</v>
      </c>
      <c r="K63" s="15">
        <f t="shared" si="7"/>
        <v>0</v>
      </c>
    </row>
    <row r="64" spans="1:14" x14ac:dyDescent="0.35">
      <c r="A64" t="s">
        <v>635</v>
      </c>
      <c r="J64" s="2" t="s">
        <v>796</v>
      </c>
      <c r="K64" s="15">
        <f t="shared" si="7"/>
        <v>0</v>
      </c>
    </row>
    <row r="65" spans="1:11" x14ac:dyDescent="0.35">
      <c r="A65" t="s">
        <v>649</v>
      </c>
    </row>
    <row r="66" spans="1:11" x14ac:dyDescent="0.35">
      <c r="A66" t="s">
        <v>636</v>
      </c>
      <c r="J66" s="2" t="s">
        <v>797</v>
      </c>
      <c r="K66" s="15">
        <f>SUM(K61:K64)</f>
        <v>14000</v>
      </c>
    </row>
    <row r="67" spans="1:11" x14ac:dyDescent="0.35">
      <c r="A67" t="s">
        <v>637</v>
      </c>
    </row>
    <row r="68" spans="1:11" x14ac:dyDescent="0.35">
      <c r="A68" t="s">
        <v>638</v>
      </c>
      <c r="J68" s="2" t="s">
        <v>798</v>
      </c>
      <c r="K68" s="15">
        <f>(K66*6000)/43560</f>
        <v>1928.374655647383</v>
      </c>
    </row>
    <row r="69" spans="1:11" x14ac:dyDescent="0.35">
      <c r="A69" t="s">
        <v>639</v>
      </c>
    </row>
    <row r="70" spans="1:11" x14ac:dyDescent="0.35">
      <c r="A70" t="s">
        <v>647</v>
      </c>
    </row>
    <row r="71" spans="1:11" x14ac:dyDescent="0.35">
      <c r="A71" t="s">
        <v>648</v>
      </c>
    </row>
    <row r="72" spans="1:11" x14ac:dyDescent="0.35">
      <c r="A72" t="s">
        <v>650</v>
      </c>
    </row>
    <row r="73" spans="1:11" x14ac:dyDescent="0.35">
      <c r="A73" t="s">
        <v>651</v>
      </c>
    </row>
    <row r="74" spans="1:11" x14ac:dyDescent="0.35">
      <c r="A74" t="s">
        <v>652</v>
      </c>
    </row>
    <row r="75" spans="1:11" x14ac:dyDescent="0.35">
      <c r="A75" t="s">
        <v>820</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6"/>
  <sheetViews>
    <sheetView topLeftCell="A25" workbookViewId="0">
      <selection activeCell="AF26" sqref="AF26"/>
    </sheetView>
  </sheetViews>
  <sheetFormatPr defaultRowHeight="14.5" x14ac:dyDescent="0.35"/>
  <cols>
    <col min="1" max="1" width="45.6328125" style="63" customWidth="1"/>
    <col min="2" max="2" width="12.54296875" bestFit="1" customWidth="1"/>
    <col min="3" max="3" width="21.90625" style="26" customWidth="1"/>
    <col min="4" max="4" width="10.90625" style="26" customWidth="1"/>
    <col min="5" max="5" width="28.08984375" customWidth="1"/>
    <col min="6" max="6" width="13.08984375" style="26" customWidth="1"/>
    <col min="7" max="7" width="20.453125" style="222" bestFit="1" customWidth="1"/>
    <col min="8" max="8" width="10.36328125" customWidth="1"/>
    <col min="9" max="9" width="15.6328125" customWidth="1"/>
    <col min="10" max="10" width="47.453125" customWidth="1"/>
    <col min="11" max="11" width="17.36328125" customWidth="1"/>
    <col min="12" max="12" width="18" customWidth="1"/>
    <col min="13" max="13" width="16.08984375" customWidth="1"/>
    <col min="15" max="15" width="12.36328125" customWidth="1"/>
    <col min="16" max="16" width="8.453125" customWidth="1"/>
    <col min="17" max="17" width="9.36328125" customWidth="1"/>
    <col min="18" max="18" width="47.54296875" customWidth="1"/>
    <col min="19" max="19" width="16.453125" customWidth="1"/>
    <col min="20" max="20" width="8.6328125" customWidth="1"/>
    <col min="21" max="21" width="47" customWidth="1"/>
    <col min="22" max="22" width="19.08984375" customWidth="1"/>
    <col min="23" max="23" width="23.36328125" customWidth="1"/>
    <col min="24" max="24" width="25.90625" customWidth="1"/>
    <col min="25" max="25" width="18.90625" customWidth="1"/>
    <col min="26" max="26" width="17.54296875" customWidth="1"/>
    <col min="27" max="27" width="9.6328125" customWidth="1"/>
    <col min="28" max="28" width="38.36328125" customWidth="1"/>
    <col min="29" max="29" width="22.6328125" customWidth="1"/>
    <col min="30" max="30" width="20.36328125" customWidth="1"/>
    <col min="31" max="31" width="18.08984375" customWidth="1"/>
    <col min="32" max="32" width="15.6328125" customWidth="1"/>
    <col min="33" max="33" width="6.54296875" customWidth="1"/>
    <col min="34" max="34" width="36.6328125" customWidth="1"/>
    <col min="35" max="35" width="17.54296875" customWidth="1"/>
    <col min="36" max="37" width="18" customWidth="1"/>
    <col min="38" max="38" width="17.6328125" customWidth="1"/>
  </cols>
  <sheetData>
    <row r="1" spans="1:33" ht="21.5" thickBot="1" x14ac:dyDescent="0.55000000000000004">
      <c r="A1" s="69" t="s">
        <v>114</v>
      </c>
    </row>
    <row r="2" spans="1:33" ht="21" x14ac:dyDescent="0.5">
      <c r="A2" s="556"/>
    </row>
    <row r="3" spans="1:33" x14ac:dyDescent="0.35">
      <c r="A3" s="63" t="s">
        <v>646</v>
      </c>
    </row>
    <row r="4" spans="1:33" x14ac:dyDescent="0.35">
      <c r="A4" s="63" t="s">
        <v>148</v>
      </c>
    </row>
    <row r="5" spans="1:33" x14ac:dyDescent="0.35">
      <c r="A5" s="63" t="s">
        <v>1252</v>
      </c>
    </row>
    <row r="6" spans="1:33" ht="15" thickBot="1" x14ac:dyDescent="0.4"/>
    <row r="7" spans="1:33" x14ac:dyDescent="0.35">
      <c r="A7" s="277" t="s">
        <v>3</v>
      </c>
      <c r="B7" s="278" t="s">
        <v>28</v>
      </c>
      <c r="C7" s="278" t="s">
        <v>150</v>
      </c>
      <c r="D7" s="278" t="s">
        <v>65</v>
      </c>
      <c r="E7" s="278" t="s">
        <v>150</v>
      </c>
      <c r="F7" s="279" t="s">
        <v>30</v>
      </c>
      <c r="G7" s="280" t="s">
        <v>150</v>
      </c>
      <c r="H7" s="8"/>
    </row>
    <row r="8" spans="1:33" x14ac:dyDescent="0.35">
      <c r="A8" s="281"/>
      <c r="B8" s="1"/>
      <c r="C8" s="11"/>
      <c r="D8" s="65"/>
      <c r="E8" s="15"/>
      <c r="F8" s="28"/>
      <c r="G8" s="283"/>
      <c r="H8" s="8"/>
      <c r="I8" s="232"/>
      <c r="J8" t="s">
        <v>34</v>
      </c>
    </row>
    <row r="9" spans="1:33" x14ac:dyDescent="0.35">
      <c r="A9" s="298" t="s">
        <v>94</v>
      </c>
      <c r="B9" s="221">
        <v>11.87</v>
      </c>
      <c r="C9" s="11" t="s">
        <v>155</v>
      </c>
      <c r="D9" s="230">
        <v>5</v>
      </c>
      <c r="E9" s="65" t="s">
        <v>116</v>
      </c>
      <c r="F9" s="28">
        <f t="shared" ref="F9:F14" si="0">D9*B9*$D$15</f>
        <v>712.19999999999993</v>
      </c>
      <c r="G9" s="283" t="s">
        <v>149</v>
      </c>
      <c r="H9" s="8"/>
      <c r="L9" s="58"/>
      <c r="N9" s="59"/>
      <c r="O9" s="6"/>
    </row>
    <row r="10" spans="1:33" x14ac:dyDescent="0.35">
      <c r="A10" s="298" t="s">
        <v>6</v>
      </c>
      <c r="B10" s="221">
        <v>17.510000000000002</v>
      </c>
      <c r="C10" s="11" t="s">
        <v>155</v>
      </c>
      <c r="D10" s="230">
        <v>1</v>
      </c>
      <c r="E10" s="65" t="s">
        <v>116</v>
      </c>
      <c r="F10" s="28">
        <f t="shared" si="0"/>
        <v>210.12</v>
      </c>
      <c r="G10" s="283" t="s">
        <v>149</v>
      </c>
      <c r="H10" s="8"/>
      <c r="I10" s="25"/>
      <c r="J10" t="s">
        <v>146</v>
      </c>
      <c r="L10" s="58"/>
      <c r="N10" s="59"/>
      <c r="O10" s="6"/>
    </row>
    <row r="11" spans="1:33" x14ac:dyDescent="0.35">
      <c r="A11" s="299" t="s">
        <v>93</v>
      </c>
      <c r="B11" s="221">
        <v>21.62</v>
      </c>
      <c r="C11" s="11" t="s">
        <v>155</v>
      </c>
      <c r="D11" s="230">
        <v>1</v>
      </c>
      <c r="E11" s="65" t="s">
        <v>116</v>
      </c>
      <c r="F11" s="28">
        <f t="shared" si="0"/>
        <v>259.44</v>
      </c>
      <c r="G11" s="283" t="s">
        <v>149</v>
      </c>
      <c r="H11" s="8"/>
      <c r="L11" s="58"/>
      <c r="N11" s="59"/>
      <c r="O11" s="6"/>
    </row>
    <row r="12" spans="1:33" x14ac:dyDescent="0.35">
      <c r="A12" s="299" t="s">
        <v>154</v>
      </c>
      <c r="B12" s="221">
        <v>19.829999999999998</v>
      </c>
      <c r="C12" s="11" t="s">
        <v>155</v>
      </c>
      <c r="D12" s="230">
        <v>0</v>
      </c>
      <c r="E12" s="65" t="s">
        <v>116</v>
      </c>
      <c r="F12" s="28">
        <f t="shared" si="0"/>
        <v>0</v>
      </c>
      <c r="G12" s="283" t="s">
        <v>149</v>
      </c>
      <c r="H12" s="8"/>
      <c r="I12" s="195"/>
      <c r="J12" t="s">
        <v>66</v>
      </c>
      <c r="L12" s="58"/>
      <c r="N12" s="59"/>
      <c r="O12" s="6"/>
    </row>
    <row r="13" spans="1:33" ht="15" thickBot="1" x14ac:dyDescent="0.4">
      <c r="A13" s="299" t="s">
        <v>153</v>
      </c>
      <c r="B13" s="221">
        <v>19.88</v>
      </c>
      <c r="C13" s="11" t="s">
        <v>155</v>
      </c>
      <c r="D13" s="230">
        <v>3</v>
      </c>
      <c r="E13" s="65" t="s">
        <v>116</v>
      </c>
      <c r="F13" s="28">
        <f t="shared" si="0"/>
        <v>715.68000000000006</v>
      </c>
      <c r="G13" s="283" t="s">
        <v>149</v>
      </c>
      <c r="H13" s="8"/>
      <c r="L13" s="58"/>
      <c r="N13" s="59"/>
      <c r="O13" s="6"/>
    </row>
    <row r="14" spans="1:33" x14ac:dyDescent="0.35">
      <c r="A14" s="299" t="s">
        <v>95</v>
      </c>
      <c r="B14" s="221">
        <v>19.760000000000002</v>
      </c>
      <c r="C14" s="11" t="s">
        <v>155</v>
      </c>
      <c r="D14" s="230">
        <v>2</v>
      </c>
      <c r="E14" s="65" t="s">
        <v>116</v>
      </c>
      <c r="F14" s="28">
        <f t="shared" si="0"/>
        <v>474.24</v>
      </c>
      <c r="G14" s="283" t="s">
        <v>149</v>
      </c>
      <c r="H14" s="8"/>
      <c r="I14" s="137"/>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2"/>
    </row>
    <row r="15" spans="1:33" x14ac:dyDescent="0.35">
      <c r="A15" s="301" t="s">
        <v>132</v>
      </c>
      <c r="B15" s="5"/>
      <c r="C15" s="11"/>
      <c r="D15" s="230">
        <v>12</v>
      </c>
      <c r="E15" s="65" t="s">
        <v>118</v>
      </c>
      <c r="F15" s="113">
        <f>D15</f>
        <v>12</v>
      </c>
      <c r="G15" s="302" t="s">
        <v>118</v>
      </c>
      <c r="H15" s="8"/>
      <c r="I15" s="124" t="s">
        <v>658</v>
      </c>
      <c r="J15" s="8"/>
      <c r="K15" s="8"/>
      <c r="L15" s="8"/>
      <c r="M15" s="8"/>
      <c r="N15" s="8"/>
      <c r="O15" s="8"/>
      <c r="P15" s="8"/>
      <c r="Q15" s="8"/>
      <c r="R15" s="8"/>
      <c r="S15" s="8"/>
      <c r="T15" s="8"/>
      <c r="U15" s="8"/>
      <c r="V15" s="8"/>
      <c r="W15" s="8"/>
      <c r="X15" s="8"/>
      <c r="Y15" s="8"/>
      <c r="Z15" s="8"/>
      <c r="AA15" s="8"/>
      <c r="AB15" s="8"/>
      <c r="AC15" s="8"/>
      <c r="AD15" s="8"/>
      <c r="AE15" s="8"/>
      <c r="AF15" s="8"/>
      <c r="AG15" s="126"/>
    </row>
    <row r="16" spans="1:33" x14ac:dyDescent="0.35">
      <c r="A16" s="301" t="s">
        <v>162</v>
      </c>
      <c r="B16" s="221">
        <v>123</v>
      </c>
      <c r="C16" s="11" t="s">
        <v>157</v>
      </c>
      <c r="D16" s="230">
        <f>SUM(D9:D14)</f>
        <v>12</v>
      </c>
      <c r="E16" s="65" t="s">
        <v>116</v>
      </c>
      <c r="F16" s="30">
        <f>D16*B16</f>
        <v>1476</v>
      </c>
      <c r="G16" s="303" t="s">
        <v>149</v>
      </c>
      <c r="H16" s="8"/>
      <c r="I16" s="124"/>
      <c r="J16" s="8"/>
      <c r="K16" s="8"/>
      <c r="L16" s="8"/>
      <c r="M16" s="8"/>
      <c r="N16" s="8"/>
      <c r="O16" s="8"/>
      <c r="P16" s="8"/>
      <c r="Q16" s="8"/>
      <c r="R16" s="8"/>
      <c r="S16" s="8"/>
      <c r="T16" s="8"/>
      <c r="U16" s="8"/>
      <c r="V16" s="8"/>
      <c r="W16" s="8"/>
      <c r="X16" s="8"/>
      <c r="Y16" s="8"/>
      <c r="Z16" s="8"/>
      <c r="AA16" s="8"/>
      <c r="AB16" s="8"/>
      <c r="AC16" s="8"/>
      <c r="AD16" s="8"/>
      <c r="AE16" s="8"/>
      <c r="AF16" s="8"/>
      <c r="AG16" s="126"/>
    </row>
    <row r="17" spans="1:33" x14ac:dyDescent="0.35">
      <c r="A17" s="281"/>
      <c r="B17" s="5"/>
      <c r="C17" s="11"/>
      <c r="D17" s="61"/>
      <c r="E17" s="15"/>
      <c r="F17" s="28"/>
      <c r="G17" s="283"/>
      <c r="H17" s="8"/>
      <c r="I17" s="174">
        <v>40</v>
      </c>
      <c r="J17" s="256" t="s">
        <v>557</v>
      </c>
      <c r="K17" s="8"/>
      <c r="L17" s="8"/>
      <c r="M17" s="8"/>
      <c r="N17" s="8"/>
      <c r="O17" s="8"/>
      <c r="P17" s="8"/>
      <c r="Q17" s="8"/>
      <c r="R17" s="8"/>
      <c r="S17" s="8"/>
      <c r="T17" s="8"/>
      <c r="U17" s="8"/>
      <c r="V17" s="8"/>
      <c r="W17" s="8"/>
      <c r="X17" s="8"/>
      <c r="Y17" s="8"/>
      <c r="Z17" s="8"/>
      <c r="AA17" s="8"/>
      <c r="AB17" s="8"/>
      <c r="AC17" s="8"/>
      <c r="AD17" s="8"/>
      <c r="AE17" s="8"/>
      <c r="AF17" s="8"/>
      <c r="AG17" s="126"/>
    </row>
    <row r="18" spans="1:33" ht="15" thickBot="1" x14ac:dyDescent="0.4">
      <c r="A18" s="304" t="s">
        <v>8</v>
      </c>
      <c r="B18" s="305"/>
      <c r="C18" s="306"/>
      <c r="D18" s="286"/>
      <c r="E18" s="307"/>
      <c r="F18" s="289">
        <f>SUM(F9:F16)</f>
        <v>3859.6800000000003</v>
      </c>
      <c r="G18" s="290" t="s">
        <v>149</v>
      </c>
      <c r="H18" s="8"/>
      <c r="I18" s="174">
        <v>150</v>
      </c>
      <c r="J18" s="256" t="s">
        <v>558</v>
      </c>
      <c r="K18" s="8"/>
      <c r="L18" s="8"/>
      <c r="M18" s="8"/>
      <c r="N18" s="8"/>
      <c r="O18" s="8"/>
      <c r="P18" s="8"/>
      <c r="Q18" s="8"/>
      <c r="R18" s="8"/>
      <c r="S18" s="8"/>
      <c r="T18" s="8"/>
      <c r="U18" s="8"/>
      <c r="V18" s="8"/>
      <c r="W18" s="8"/>
      <c r="X18" s="8"/>
      <c r="Y18" s="8"/>
      <c r="Z18" s="8"/>
      <c r="AA18" s="8"/>
      <c r="AB18" s="8"/>
      <c r="AC18" s="8"/>
      <c r="AD18" s="8"/>
      <c r="AE18" s="8"/>
      <c r="AF18" s="8"/>
      <c r="AG18" s="126"/>
    </row>
    <row r="19" spans="1:33" ht="15" thickBot="1" x14ac:dyDescent="0.4">
      <c r="A19" s="291"/>
      <c r="B19" s="292"/>
      <c r="C19" s="293"/>
      <c r="D19" s="294"/>
      <c r="E19" s="295"/>
      <c r="F19" s="296"/>
      <c r="G19" s="297"/>
      <c r="H19" s="8"/>
      <c r="I19" s="174">
        <v>300</v>
      </c>
      <c r="J19" s="256" t="s">
        <v>1243</v>
      </c>
      <c r="K19" s="8"/>
      <c r="L19" s="8"/>
      <c r="M19" s="8"/>
      <c r="N19" s="8"/>
      <c r="O19" s="8"/>
      <c r="P19" s="8"/>
      <c r="Q19" s="8"/>
      <c r="R19" s="8"/>
      <c r="S19" s="8"/>
      <c r="T19" s="8"/>
      <c r="U19" s="8"/>
      <c r="V19" s="8"/>
      <c r="W19" s="8"/>
      <c r="X19" s="8"/>
      <c r="Y19" s="8"/>
      <c r="Z19" s="8"/>
      <c r="AA19" s="8"/>
      <c r="AB19" s="8"/>
      <c r="AC19" s="8"/>
      <c r="AD19" s="8"/>
      <c r="AE19" s="8"/>
      <c r="AF19" s="8"/>
      <c r="AG19" s="126"/>
    </row>
    <row r="20" spans="1:33" ht="15.5" x14ac:dyDescent="0.35">
      <c r="A20" s="277" t="s">
        <v>601</v>
      </c>
      <c r="B20" s="278" t="s">
        <v>28</v>
      </c>
      <c r="C20" s="278" t="s">
        <v>150</v>
      </c>
      <c r="D20" s="278" t="s">
        <v>65</v>
      </c>
      <c r="E20" s="278" t="s">
        <v>150</v>
      </c>
      <c r="F20" s="279" t="s">
        <v>30</v>
      </c>
      <c r="G20" s="280" t="s">
        <v>150</v>
      </c>
      <c r="H20" s="215"/>
      <c r="I20" s="245"/>
      <c r="J20" s="175"/>
      <c r="K20" s="8"/>
      <c r="L20" s="8"/>
      <c r="M20" s="8"/>
      <c r="N20" s="8"/>
      <c r="O20" s="8"/>
      <c r="P20" s="8"/>
      <c r="Q20" s="8"/>
      <c r="R20" s="8"/>
      <c r="S20" s="8"/>
      <c r="T20" s="8"/>
      <c r="U20" s="8"/>
      <c r="V20" s="8"/>
      <c r="W20" s="8"/>
      <c r="X20" s="8"/>
      <c r="Y20" s="8"/>
      <c r="Z20" s="8"/>
      <c r="AA20" s="8"/>
      <c r="AB20" s="8"/>
      <c r="AC20" s="8"/>
      <c r="AD20" s="8"/>
      <c r="AE20" s="8"/>
      <c r="AF20" s="8"/>
      <c r="AG20" s="126"/>
    </row>
    <row r="21" spans="1:33" x14ac:dyDescent="0.35">
      <c r="A21" s="281"/>
      <c r="B21" s="282"/>
      <c r="C21" s="60"/>
      <c r="D21" s="61"/>
      <c r="E21" s="72"/>
      <c r="F21" s="75"/>
      <c r="G21" s="283"/>
      <c r="H21" s="8"/>
      <c r="I21" s="124"/>
      <c r="J21" s="8"/>
      <c r="K21" s="8"/>
      <c r="L21" s="8"/>
      <c r="M21" s="8"/>
      <c r="N21" s="8"/>
      <c r="O21" s="8"/>
      <c r="P21" s="8"/>
      <c r="Q21" s="8"/>
      <c r="R21" s="8"/>
      <c r="S21" s="8"/>
      <c r="T21" s="8"/>
      <c r="U21" s="8"/>
      <c r="V21" s="8"/>
      <c r="W21" s="8"/>
      <c r="X21" s="8"/>
      <c r="Y21" s="8"/>
      <c r="Z21" s="8"/>
      <c r="AA21" s="8"/>
      <c r="AB21" s="8"/>
      <c r="AC21" s="8"/>
      <c r="AD21" s="8"/>
      <c r="AE21" s="8"/>
      <c r="AF21" s="8"/>
      <c r="AG21" s="126"/>
    </row>
    <row r="22" spans="1:33" x14ac:dyDescent="0.35">
      <c r="A22" s="341" t="s">
        <v>11</v>
      </c>
      <c r="B22" s="221">
        <v>10.25</v>
      </c>
      <c r="C22" s="65" t="s">
        <v>120</v>
      </c>
      <c r="D22" s="230">
        <f>SUM(D9:D14)</f>
        <v>12</v>
      </c>
      <c r="E22" s="60" t="s">
        <v>156</v>
      </c>
      <c r="F22" s="30">
        <f>D22*B22</f>
        <v>123</v>
      </c>
      <c r="G22" s="303" t="s">
        <v>149</v>
      </c>
      <c r="H22" s="8"/>
      <c r="I22" s="124" t="s">
        <v>657</v>
      </c>
      <c r="J22" s="8"/>
      <c r="K22" s="8"/>
      <c r="L22" s="8"/>
      <c r="M22" s="8"/>
      <c r="N22" s="8"/>
      <c r="O22" s="8"/>
      <c r="P22" s="8"/>
      <c r="Q22" s="8"/>
      <c r="R22" s="8"/>
      <c r="S22" s="8"/>
      <c r="T22" s="8"/>
      <c r="U22" s="8"/>
      <c r="V22" s="8"/>
      <c r="W22" s="8"/>
      <c r="X22" s="8"/>
      <c r="Y22" s="8"/>
      <c r="Z22" s="8"/>
      <c r="AA22" s="8"/>
      <c r="AB22" s="8"/>
      <c r="AC22" s="8"/>
      <c r="AD22" s="8"/>
      <c r="AE22" s="8"/>
      <c r="AF22" s="8"/>
      <c r="AG22" s="126"/>
    </row>
    <row r="23" spans="1:33" ht="15" thickBot="1" x14ac:dyDescent="0.4">
      <c r="A23" s="284" t="s">
        <v>1207</v>
      </c>
      <c r="B23" s="285"/>
      <c r="C23" s="286"/>
      <c r="D23" s="287"/>
      <c r="E23" s="288"/>
      <c r="F23" s="289">
        <f>D23*B23</f>
        <v>0</v>
      </c>
      <c r="G23" s="290"/>
      <c r="I23" s="124" t="s">
        <v>415</v>
      </c>
      <c r="J23" s="8"/>
      <c r="K23" s="8"/>
      <c r="L23" s="8"/>
      <c r="M23" s="8"/>
      <c r="N23" s="8"/>
      <c r="O23" s="8"/>
      <c r="P23" s="8"/>
      <c r="Q23" s="8"/>
      <c r="R23" s="8"/>
      <c r="S23" s="8"/>
      <c r="T23" s="8"/>
      <c r="U23" s="8"/>
      <c r="V23" s="8"/>
      <c r="W23" s="8"/>
      <c r="X23" s="8"/>
      <c r="Y23" s="8"/>
      <c r="Z23" s="8"/>
      <c r="AA23" s="8"/>
      <c r="AB23" s="8"/>
      <c r="AC23" s="8"/>
      <c r="AD23" s="8"/>
      <c r="AE23" s="8"/>
      <c r="AF23" s="8"/>
      <c r="AG23" s="126"/>
    </row>
    <row r="24" spans="1:33" ht="15" thickBot="1" x14ac:dyDescent="0.4">
      <c r="A24" s="308"/>
      <c r="B24" s="309"/>
      <c r="C24" s="310"/>
      <c r="D24" s="311"/>
      <c r="E24" s="294"/>
      <c r="F24" s="296"/>
      <c r="G24" s="297"/>
      <c r="H24" s="8"/>
      <c r="I24" s="124"/>
      <c r="J24" s="8"/>
      <c r="K24" s="8"/>
      <c r="L24" s="8"/>
      <c r="M24" s="8"/>
      <c r="N24" s="8"/>
      <c r="O24" s="8"/>
      <c r="P24" s="8"/>
      <c r="Q24" s="8"/>
      <c r="R24" s="8"/>
      <c r="S24" s="8"/>
      <c r="T24" s="8"/>
      <c r="U24" s="8"/>
      <c r="V24" s="8"/>
      <c r="W24" s="8"/>
      <c r="X24" s="8"/>
      <c r="Y24" s="8"/>
      <c r="Z24" s="8"/>
      <c r="AA24" s="8"/>
      <c r="AB24" s="8"/>
      <c r="AC24" s="8"/>
      <c r="AD24" s="8"/>
      <c r="AE24" s="8"/>
      <c r="AF24" s="8"/>
      <c r="AG24" s="126"/>
    </row>
    <row r="25" spans="1:33" ht="15" thickBot="1" x14ac:dyDescent="0.4">
      <c r="A25" s="314" t="s">
        <v>20</v>
      </c>
      <c r="B25" s="278" t="s">
        <v>28</v>
      </c>
      <c r="C25" s="278" t="s">
        <v>150</v>
      </c>
      <c r="D25" s="278" t="s">
        <v>65</v>
      </c>
      <c r="E25" s="278" t="s">
        <v>150</v>
      </c>
      <c r="F25" s="279" t="s">
        <v>30</v>
      </c>
      <c r="G25" s="280" t="s">
        <v>150</v>
      </c>
      <c r="H25" s="8"/>
      <c r="I25" s="124"/>
      <c r="J25" s="8"/>
      <c r="K25" s="211" t="s">
        <v>559</v>
      </c>
      <c r="L25" s="211" t="s">
        <v>130</v>
      </c>
      <c r="M25" s="211" t="s">
        <v>114</v>
      </c>
      <c r="N25" s="211" t="s">
        <v>468</v>
      </c>
      <c r="O25" s="211" t="s">
        <v>30</v>
      </c>
      <c r="P25" s="8"/>
      <c r="Q25" s="8"/>
      <c r="R25" s="8"/>
      <c r="S25" s="214"/>
      <c r="T25" s="8"/>
      <c r="U25" s="8"/>
      <c r="V25" s="44" t="s">
        <v>475</v>
      </c>
      <c r="W25" s="44" t="s">
        <v>600</v>
      </c>
      <c r="X25" s="44" t="s">
        <v>474</v>
      </c>
      <c r="Y25" s="44" t="s">
        <v>468</v>
      </c>
      <c r="Z25" s="44" t="s">
        <v>30</v>
      </c>
      <c r="AA25" s="8"/>
      <c r="AB25" s="44" t="s">
        <v>472</v>
      </c>
      <c r="AC25" s="44" t="s">
        <v>473</v>
      </c>
      <c r="AD25" s="44" t="s">
        <v>480</v>
      </c>
      <c r="AE25" s="44" t="s">
        <v>884</v>
      </c>
      <c r="AF25" s="44" t="s">
        <v>75</v>
      </c>
      <c r="AG25" s="126"/>
    </row>
    <row r="26" spans="1:33" x14ac:dyDescent="0.35">
      <c r="A26" s="315"/>
      <c r="B26" s="4"/>
      <c r="C26" s="11"/>
      <c r="D26" s="31"/>
      <c r="E26" s="11"/>
      <c r="F26" s="11"/>
      <c r="G26" s="283"/>
      <c r="H26" s="8"/>
      <c r="I26" s="124"/>
      <c r="J26" s="176" t="s">
        <v>560</v>
      </c>
      <c r="K26" s="196">
        <f>(GIS_inputs!C50/($I$18*$I$17))</f>
        <v>65</v>
      </c>
      <c r="L26" s="196">
        <f>(((GIS_inputs!C50*$B$80)/2000)/(IF(Rendering!$F$50&gt;0,Rendering!$F$50,(IF(Rendering!$F$53&gt;0,Rendering!$F$53,IF(Rendering!$F$56&gt;0,Rendering!$F$56,Rendering!$F$59))))*(IF(Rendering!$F$50&gt;0,Rendering!$F$51,(IF(Rendering!$F$53&gt;0,Rendering!$F$54,IF(Rendering!$F$56&gt;0,Rendering!$F$57,Rendering!$F$60)))))))</f>
        <v>1560</v>
      </c>
      <c r="M26" s="196">
        <f>(((GIS_inputs!C50)*B80/2000)/$F$65)</f>
        <v>1462.5</v>
      </c>
      <c r="N26" s="196">
        <f>($F$72/$F$71)*(M26/$M$41)</f>
        <v>0.51428571428571423</v>
      </c>
      <c r="O26" s="518">
        <f>SUM(K26:N26)</f>
        <v>3088.0142857142855</v>
      </c>
      <c r="P26" s="123" t="s">
        <v>432</v>
      </c>
      <c r="Q26" s="8"/>
      <c r="R26" s="176" t="s">
        <v>574</v>
      </c>
      <c r="S26" s="199">
        <f>$F$16*$I$17*K26</f>
        <v>3837600</v>
      </c>
      <c r="T26" s="8"/>
      <c r="U26" s="2" t="s">
        <v>587</v>
      </c>
      <c r="V26" s="202">
        <f>($I$17*$F$22*K26)</f>
        <v>319800</v>
      </c>
      <c r="W26" s="203">
        <f>(($B$80*GIS_inputs!C50)/2000)*($F$44+$F$45)+($F$36*K26)</f>
        <v>257817.85714285716</v>
      </c>
      <c r="X26" s="204">
        <f>(($F$31+$F$27+$F$29)+($H$18*($F$39)))*(K26/$K$41)+($F$40)*K26</f>
        <v>150507.14285714284</v>
      </c>
      <c r="Y26" s="204">
        <f>(($F$70*$F$72)+$F$74+$F$75+$F$76+($F$73*K26))*(GIS_inputs!C50/GIS_inputs!$C$54)</f>
        <v>3061630</v>
      </c>
      <c r="Z26" s="205">
        <f>SUM(V26:Y26)</f>
        <v>3789755</v>
      </c>
      <c r="AA26" s="8"/>
      <c r="AB26" s="2" t="s">
        <v>618</v>
      </c>
      <c r="AC26" s="205">
        <f>S26</f>
        <v>3837600</v>
      </c>
      <c r="AD26" s="205">
        <f>Z26</f>
        <v>3789755</v>
      </c>
      <c r="AE26" s="205">
        <f>((GIS_inputs!C50*Depopulation!B76)/2000)*($B$64)</f>
        <v>24336000</v>
      </c>
      <c r="AF26" s="205">
        <f>AC26+AD26+AE26</f>
        <v>31963355</v>
      </c>
      <c r="AG26" s="126"/>
    </row>
    <row r="27" spans="1:33" x14ac:dyDescent="0.35">
      <c r="A27" s="316" t="s">
        <v>158</v>
      </c>
      <c r="B27" s="221">
        <v>4000</v>
      </c>
      <c r="C27" s="11" t="s">
        <v>120</v>
      </c>
      <c r="D27" s="220">
        <v>0</v>
      </c>
      <c r="E27" s="11" t="s">
        <v>117</v>
      </c>
      <c r="F27" s="114">
        <f>D27*B27</f>
        <v>0</v>
      </c>
      <c r="G27" s="303" t="s">
        <v>376</v>
      </c>
      <c r="H27" s="8"/>
      <c r="I27" s="124"/>
      <c r="J27" s="177" t="s">
        <v>561</v>
      </c>
      <c r="K27" s="197">
        <f>(GIS_inputs!C51/($I$18*$I$17))</f>
        <v>0</v>
      </c>
      <c r="L27" s="197">
        <f>(((GIS_inputs!C51*$B$81)/2000)/(IF(Rendering!$F$50&gt;0,Rendering!$F$50,(IF(Rendering!$F$53&gt;0,Rendering!$F$53,IF(Rendering!$F$56&gt;0,Rendering!$F$56,Rendering!$F$59))))*(IF(Rendering!$F$50&gt;0,Rendering!$F$51,(IF(Rendering!$F$53&gt;0,Rendering!$F$54,IF(Rendering!$F$56&gt;0,Rendering!$F$57,Rendering!$F$60)))))))</f>
        <v>0</v>
      </c>
      <c r="M27" s="197">
        <f>(((GIS_inputs!C51)*B81/2000)/$F$65)</f>
        <v>0</v>
      </c>
      <c r="N27" s="197">
        <f>($F$72/$F$71)*(M27/$M$41)</f>
        <v>0</v>
      </c>
      <c r="O27" s="444">
        <f t="shared" ref="O27:O29" si="1">SUM(K27:N27)</f>
        <v>0</v>
      </c>
      <c r="P27" s="125" t="s">
        <v>432</v>
      </c>
      <c r="Q27" s="8"/>
      <c r="R27" s="177" t="s">
        <v>575</v>
      </c>
      <c r="S27" s="200">
        <f>$F$16*$I$17*K27</f>
        <v>0</v>
      </c>
      <c r="T27" s="8"/>
      <c r="U27" s="2" t="s">
        <v>588</v>
      </c>
      <c r="V27" s="202">
        <f>($I$17*$F$22*K27)</f>
        <v>0</v>
      </c>
      <c r="W27" s="203">
        <f>(($B$80*GIS_inputs!C51)/2000)*($F$44+$F$45)+($F$36*K27)</f>
        <v>0</v>
      </c>
      <c r="X27" s="204">
        <f t="shared" ref="X27:X29" si="2">(($F$31+$F$27+$F$29)+($H$18*($F$39)))*(K27/$K$41)+($F$40)*K27</f>
        <v>0</v>
      </c>
      <c r="Y27" s="204">
        <f>(($F$70*$F$72)+$F$74+$F$75+$F$76+($F$73*K27))*(GIS_inputs!C51/GIS_inputs!$C$54)</f>
        <v>0</v>
      </c>
      <c r="Z27" s="205">
        <f>SUM(V27:Y27)</f>
        <v>0</v>
      </c>
      <c r="AA27" s="8"/>
      <c r="AB27" s="2" t="s">
        <v>619</v>
      </c>
      <c r="AC27" s="205">
        <f>S27</f>
        <v>0</v>
      </c>
      <c r="AD27" s="205">
        <f>Z27</f>
        <v>0</v>
      </c>
      <c r="AE27" s="205">
        <f>((GIS_inputs!C51*Depopulation!B77)/2000)*($B$64)</f>
        <v>0</v>
      </c>
      <c r="AF27" s="205">
        <f>AC27+AD27+AE27</f>
        <v>0</v>
      </c>
      <c r="AG27" s="126"/>
    </row>
    <row r="28" spans="1:33" x14ac:dyDescent="0.35">
      <c r="A28" s="316"/>
      <c r="B28" s="5"/>
      <c r="C28" s="11"/>
      <c r="D28" s="220">
        <v>1.5</v>
      </c>
      <c r="E28" s="11" t="s">
        <v>630</v>
      </c>
      <c r="F28" s="113">
        <f>D28*F15</f>
        <v>18</v>
      </c>
      <c r="G28" s="303" t="s">
        <v>151</v>
      </c>
      <c r="H28" s="8"/>
      <c r="I28" s="124"/>
      <c r="J28" s="177" t="s">
        <v>563</v>
      </c>
      <c r="K28" s="197">
        <f>(GIS_inputs!C52/($I$18*$I$17))</f>
        <v>0</v>
      </c>
      <c r="L28" s="197">
        <f>(((GIS_inputs!C52*$B$82)/2000)/(IF(Rendering!$F$50&gt;0,Rendering!$F$50,(IF(Rendering!$F$53&gt;0,Rendering!$F$53,IF(Rendering!$F$56&gt;0,Rendering!$F$56,Rendering!$F$59))))*(IF(Rendering!$F$50&gt;0,Rendering!$F$51,(IF(Rendering!$F$53&gt;0,Rendering!$F$54,IF(Rendering!$F$56&gt;0,Rendering!$F$57,Rendering!$F$60)))))))</f>
        <v>0</v>
      </c>
      <c r="M28" s="197">
        <f>(((GIS_inputs!C52)*B82/2000)/$F$65)</f>
        <v>0</v>
      </c>
      <c r="N28" s="197">
        <f>($F$72/$F$71)*(M28/$M$41)</f>
        <v>0</v>
      </c>
      <c r="O28" s="444">
        <f t="shared" si="1"/>
        <v>0</v>
      </c>
      <c r="P28" s="125" t="s">
        <v>432</v>
      </c>
      <c r="Q28" s="8"/>
      <c r="R28" s="177" t="s">
        <v>576</v>
      </c>
      <c r="S28" s="200">
        <f>$F$16*$I$17*K28</f>
        <v>0</v>
      </c>
      <c r="T28" s="8"/>
      <c r="U28" s="2" t="s">
        <v>589</v>
      </c>
      <c r="V28" s="202">
        <f>($I$17*$F$22*K28)</f>
        <v>0</v>
      </c>
      <c r="W28" s="203">
        <f>(($B$80*GIS_inputs!C52)/2000)*($F$44+$F$45)+($F$36*K28)</f>
        <v>0</v>
      </c>
      <c r="X28" s="204">
        <f t="shared" si="2"/>
        <v>0</v>
      </c>
      <c r="Y28" s="204">
        <f>(($F$70*$F$72)+$F$74+$F$75+$F$76+($F$73*K28))*(GIS_inputs!C52/GIS_inputs!$C$54)</f>
        <v>0</v>
      </c>
      <c r="Z28" s="205">
        <f>SUM(V28:Y28)</f>
        <v>0</v>
      </c>
      <c r="AA28" s="8"/>
      <c r="AB28" s="2" t="s">
        <v>620</v>
      </c>
      <c r="AC28" s="205">
        <f>S28</f>
        <v>0</v>
      </c>
      <c r="AD28" s="205">
        <f>Z28</f>
        <v>0</v>
      </c>
      <c r="AE28" s="205">
        <f>((GIS_inputs!C52*Depopulation!B78)/2000)*($B$64)</f>
        <v>0</v>
      </c>
      <c r="AF28" s="205">
        <f>AC28+AD28+AE28</f>
        <v>0</v>
      </c>
      <c r="AG28" s="126"/>
    </row>
    <row r="29" spans="1:33" x14ac:dyDescent="0.35">
      <c r="A29" s="316" t="s">
        <v>165</v>
      </c>
      <c r="B29" s="221">
        <v>161000</v>
      </c>
      <c r="C29" s="11" t="s">
        <v>120</v>
      </c>
      <c r="D29" s="220">
        <v>1</v>
      </c>
      <c r="E29" s="11" t="s">
        <v>117</v>
      </c>
      <c r="F29" s="114">
        <f>D29*B29</f>
        <v>161000</v>
      </c>
      <c r="G29" s="303" t="s">
        <v>376</v>
      </c>
      <c r="H29" s="8"/>
      <c r="I29" s="124"/>
      <c r="J29" s="177" t="s">
        <v>562</v>
      </c>
      <c r="K29" s="197">
        <f>(GIS_inputs!C53/($I$18*$I$17))</f>
        <v>0</v>
      </c>
      <c r="L29" s="197">
        <f>(((GIS_inputs!C53*$B$83)/2000)/(IF(Rendering!$F$50&gt;0,Rendering!$F$50,(IF(Rendering!$F$53&gt;0,Rendering!$F$53,IF(Rendering!$F$56&gt;0,Rendering!$F$56,Rendering!$F$59))))*(IF(Rendering!$F$50&gt;0,Rendering!$F$51,(IF(Rendering!$F$53&gt;0,Rendering!$F$54,IF(Rendering!$F$56&gt;0,Rendering!$F$57,Rendering!$F$60)))))))</f>
        <v>0</v>
      </c>
      <c r="M29" s="197">
        <f>(((GIS_inputs!C53)*B83/2000)/$F$65)</f>
        <v>0</v>
      </c>
      <c r="N29" s="197">
        <f>($F$72/$F$71)*(M29/$M$41)</f>
        <v>0</v>
      </c>
      <c r="O29" s="444">
        <f t="shared" si="1"/>
        <v>0</v>
      </c>
      <c r="P29" s="125" t="s">
        <v>432</v>
      </c>
      <c r="Q29" s="8"/>
      <c r="R29" s="177" t="s">
        <v>577</v>
      </c>
      <c r="S29" s="200">
        <f>$F$16*$I$17*K29</f>
        <v>0</v>
      </c>
      <c r="T29" s="8"/>
      <c r="U29" s="2" t="s">
        <v>591</v>
      </c>
      <c r="V29" s="202">
        <f>($I$17*$F$22*K29)</f>
        <v>0</v>
      </c>
      <c r="W29" s="203">
        <f>(($B$80*GIS_inputs!C53)/2000)*($F$44+$F$45)+($F$36*K29)</f>
        <v>0</v>
      </c>
      <c r="X29" s="204">
        <f t="shared" si="2"/>
        <v>0</v>
      </c>
      <c r="Y29" s="204">
        <f>(($F$70*$F$72)+$F$74+$F$75+$F$76+($F$73*K29))*(GIS_inputs!C53/GIS_inputs!$C$54)</f>
        <v>0</v>
      </c>
      <c r="Z29" s="205">
        <f>SUM(V29:Y29)</f>
        <v>0</v>
      </c>
      <c r="AA29" s="8"/>
      <c r="AB29" s="2" t="s">
        <v>621</v>
      </c>
      <c r="AC29" s="205">
        <f>S29</f>
        <v>0</v>
      </c>
      <c r="AD29" s="205">
        <f>Z29</f>
        <v>0</v>
      </c>
      <c r="AE29" s="205">
        <f>((GIS_inputs!C53*Depopulation!B79)/2000)*($B$64)</f>
        <v>0</v>
      </c>
      <c r="AF29" s="205">
        <f>AC29+AD29+AE29</f>
        <v>0</v>
      </c>
      <c r="AG29" s="126"/>
    </row>
    <row r="30" spans="1:33" x14ac:dyDescent="0.35">
      <c r="A30" s="316"/>
      <c r="B30" s="5"/>
      <c r="C30" s="11"/>
      <c r="D30" s="220">
        <v>40</v>
      </c>
      <c r="E30" s="11" t="s">
        <v>630</v>
      </c>
      <c r="F30" s="113">
        <f>D30*F15</f>
        <v>480</v>
      </c>
      <c r="G30" s="303" t="s">
        <v>151</v>
      </c>
      <c r="H30" s="8"/>
      <c r="I30" s="124"/>
      <c r="J30" s="124"/>
      <c r="K30" s="193"/>
      <c r="L30" s="193"/>
      <c r="M30" s="2"/>
      <c r="N30" s="8"/>
      <c r="O30" s="8"/>
      <c r="P30" s="126"/>
      <c r="Q30" s="8"/>
      <c r="R30" s="124"/>
      <c r="S30" s="181"/>
      <c r="T30" s="8"/>
      <c r="U30" s="8"/>
      <c r="V30" s="188"/>
      <c r="W30" s="188"/>
      <c r="X30" s="189"/>
      <c r="Y30" s="8"/>
      <c r="Z30" s="8"/>
      <c r="AA30" s="8"/>
      <c r="AB30" s="9"/>
      <c r="AC30" s="183"/>
      <c r="AD30" s="9"/>
      <c r="AE30" s="9"/>
      <c r="AF30" s="8"/>
      <c r="AG30" s="126"/>
    </row>
    <row r="31" spans="1:33" x14ac:dyDescent="0.35">
      <c r="A31" s="316" t="s">
        <v>605</v>
      </c>
      <c r="B31" s="221">
        <v>76000</v>
      </c>
      <c r="C31" s="11" t="s">
        <v>120</v>
      </c>
      <c r="D31" s="220">
        <v>1</v>
      </c>
      <c r="E31" s="11" t="s">
        <v>117</v>
      </c>
      <c r="F31" s="114">
        <f>D31*B31</f>
        <v>76000</v>
      </c>
      <c r="G31" s="303" t="s">
        <v>376</v>
      </c>
      <c r="H31" s="8"/>
      <c r="I31" s="124"/>
      <c r="J31" s="177" t="s">
        <v>564</v>
      </c>
      <c r="K31" s="197">
        <f>(GIS_inputs!C121/($I$18*$I$17))</f>
        <v>86.666666666666671</v>
      </c>
      <c r="L31" s="197">
        <f>(((GIS_inputs!C121*$B$80)/2000)/(IF(Rendering!$F$50&gt;0,Rendering!$F$50,(IF(Rendering!$F$53&gt;0,Rendering!$F$53,IF(Rendering!$F$56&gt;0,Rendering!$F$56,Rendering!$F$59))))*(IF(Rendering!$F$50&gt;0,Rendering!$F$51,(IF(Rendering!$F$53&gt;0,Rendering!$F$54,IF(Rendering!$F$56&gt;0,Rendering!$F$57,Rendering!$F$60)))))))</f>
        <v>2080</v>
      </c>
      <c r="M31" s="197">
        <f>(((GIS_inputs!C121)*B80/2000)/$F$65)</f>
        <v>1950</v>
      </c>
      <c r="N31" s="197">
        <f>($F$72/$F$71)*(M31/$M$41)</f>
        <v>0.68571428571428561</v>
      </c>
      <c r="O31" s="197">
        <f t="shared" ref="O31:O34" si="3">SUM(K31:N31)</f>
        <v>4117.3523809523804</v>
      </c>
      <c r="P31" s="125" t="s">
        <v>432</v>
      </c>
      <c r="Q31" s="8"/>
      <c r="R31" s="177" t="s">
        <v>578</v>
      </c>
      <c r="S31" s="200">
        <f>$F$16*$I$17*K31</f>
        <v>5116800</v>
      </c>
      <c r="T31" s="8"/>
      <c r="U31" s="2" t="s">
        <v>593</v>
      </c>
      <c r="V31" s="204">
        <f>($I$17*$F$22*K31)</f>
        <v>426400</v>
      </c>
      <c r="W31" s="204">
        <f>(($B$80*GIS_inputs!C121)/2000)*($F$44+$F$45)+($F$36*K31)</f>
        <v>343757.14285714284</v>
      </c>
      <c r="X31" s="204">
        <f>(($F$31+$F$27+$F$29)+($H$18*($F$39)))*(K31/$K$41)+($F$40)*K31</f>
        <v>200676.19047619047</v>
      </c>
      <c r="Y31" s="204">
        <f>(($F$70*$F$72)+$F$74+$F$75+$F$76+($F$73*K31))*(GIS_inputs!C121/GIS_inputs!$C$125)</f>
        <v>3081996.6666666665</v>
      </c>
      <c r="Z31" s="205">
        <f>SUM(V31:Y31)</f>
        <v>4052830</v>
      </c>
      <c r="AA31" s="8"/>
      <c r="AB31" s="2" t="s">
        <v>622</v>
      </c>
      <c r="AC31" s="205">
        <f>S31</f>
        <v>5116800</v>
      </c>
      <c r="AD31" s="205">
        <f>Z31</f>
        <v>4052830</v>
      </c>
      <c r="AE31" s="205">
        <f>((GIS_inputs!C121*Depopulation!B76)/2000)*($B$64)</f>
        <v>32448000</v>
      </c>
      <c r="AF31" s="205">
        <f>AC31+AD31+AE31</f>
        <v>41617630</v>
      </c>
      <c r="AG31" s="126"/>
    </row>
    <row r="32" spans="1:33" x14ac:dyDescent="0.35">
      <c r="A32" s="419" t="s">
        <v>129</v>
      </c>
      <c r="B32" s="221">
        <v>35</v>
      </c>
      <c r="C32" s="11" t="s">
        <v>155</v>
      </c>
      <c r="D32" s="220">
        <v>1</v>
      </c>
      <c r="E32" s="11" t="s">
        <v>117</v>
      </c>
      <c r="F32" s="225">
        <f>D32*B32*8</f>
        <v>280</v>
      </c>
      <c r="G32" s="410" t="s">
        <v>149</v>
      </c>
      <c r="H32" s="9"/>
      <c r="I32" s="124"/>
      <c r="J32" s="177" t="s">
        <v>565</v>
      </c>
      <c r="K32" s="197">
        <f>(GIS_inputs!C122/($I$18*$I$17))</f>
        <v>0</v>
      </c>
      <c r="L32" s="197">
        <f>(((GIS_inputs!C122*$B$80)/2000)/(IF(Rendering!$F$50&gt;0,Rendering!$F$50,(IF(Rendering!$F$53&gt;0,Rendering!$F$53,IF(Rendering!$F$56&gt;0,Rendering!$F$56,Rendering!$F$59))))*(IF(Rendering!$F$50&gt;0,Rendering!$F$51,(IF(Rendering!$F$53&gt;0,Rendering!$F$54,IF(Rendering!$F$56&gt;0,Rendering!$F$57,Rendering!$F$60)))))))</f>
        <v>0</v>
      </c>
      <c r="M32" s="197">
        <f>(((GIS_inputs!C122)*B81/2000)/$F$65)</f>
        <v>0</v>
      </c>
      <c r="N32" s="197">
        <f>($F$72/$F$71)*(M32/$M$41)</f>
        <v>0</v>
      </c>
      <c r="O32" s="444">
        <f t="shared" si="3"/>
        <v>0</v>
      </c>
      <c r="P32" s="125" t="s">
        <v>432</v>
      </c>
      <c r="Q32" s="8"/>
      <c r="R32" s="177" t="s">
        <v>579</v>
      </c>
      <c r="S32" s="200">
        <f>$F$16*$I$17*K32</f>
        <v>0</v>
      </c>
      <c r="T32" s="8"/>
      <c r="U32" s="2" t="s">
        <v>592</v>
      </c>
      <c r="V32" s="202">
        <f>($I$17*$F$22*K32)</f>
        <v>0</v>
      </c>
      <c r="W32" s="203">
        <f>(($B$80*GIS_inputs!C122)/2000)*($F$44+$F$45)+($F$36*K32)</f>
        <v>0</v>
      </c>
      <c r="X32" s="204">
        <f t="shared" ref="X32:X34" si="4">(($F$31+$F$27+$F$29)+($H$18*($F$39)))*(K32/$K$41)+($F$40)*K32</f>
        <v>0</v>
      </c>
      <c r="Y32" s="204">
        <f>(($F$70*$F$72)+$F$74+$F$75+$F$76+($F$73*K32))*(GIS_inputs!C122/GIS_inputs!$C$125)</f>
        <v>0</v>
      </c>
      <c r="Z32" s="205">
        <f>SUM(V32:Y32)</f>
        <v>0</v>
      </c>
      <c r="AA32" s="8"/>
      <c r="AB32" s="2" t="s">
        <v>623</v>
      </c>
      <c r="AC32" s="205">
        <f>S32</f>
        <v>0</v>
      </c>
      <c r="AD32" s="205">
        <f>Z32</f>
        <v>0</v>
      </c>
      <c r="AE32" s="205">
        <f>((GIS_inputs!C122*Depopulation!B77)/2000)*($B$64)</f>
        <v>0</v>
      </c>
      <c r="AF32" s="205">
        <f>AC32+AD32+AE32</f>
        <v>0</v>
      </c>
      <c r="AG32" s="126"/>
    </row>
    <row r="33" spans="1:33" x14ac:dyDescent="0.35">
      <c r="A33" s="419" t="s">
        <v>366</v>
      </c>
      <c r="B33" s="221">
        <v>40</v>
      </c>
      <c r="C33" s="11" t="s">
        <v>120</v>
      </c>
      <c r="D33" s="220">
        <v>4</v>
      </c>
      <c r="E33" s="11" t="s">
        <v>117</v>
      </c>
      <c r="F33" s="225">
        <f>D33*B33</f>
        <v>160</v>
      </c>
      <c r="G33" s="410" t="s">
        <v>1192</v>
      </c>
      <c r="H33" s="9"/>
      <c r="I33" s="124"/>
      <c r="J33" s="177" t="s">
        <v>566</v>
      </c>
      <c r="K33" s="197">
        <f>(GIS_inputs!C123/($I$18*$I$17))</f>
        <v>0</v>
      </c>
      <c r="L33" s="197">
        <f>(((GIS_inputs!C123*$B$80)/2000)/(IF(Rendering!$F$50&gt;0,Rendering!$F$50,(IF(Rendering!$F$53&gt;0,Rendering!$F$53,IF(Rendering!$F$56&gt;0,Rendering!$F$56,Rendering!$F$59))))*(IF(Rendering!$F$50&gt;0,Rendering!$F$51,(IF(Rendering!$F$53&gt;0,Rendering!$F$54,IF(Rendering!$F$56&gt;0,Rendering!$F$57,Rendering!$F$60)))))))</f>
        <v>0</v>
      </c>
      <c r="M33" s="197">
        <f>(((GIS_inputs!C123)*B82/2000)/$F$65)</f>
        <v>0</v>
      </c>
      <c r="N33" s="197">
        <f>($F$72/$F$71)*(M33/$M$41)</f>
        <v>0</v>
      </c>
      <c r="O33" s="444">
        <f t="shared" si="3"/>
        <v>0</v>
      </c>
      <c r="P33" s="125" t="s">
        <v>432</v>
      </c>
      <c r="Q33" s="8"/>
      <c r="R33" s="177" t="s">
        <v>580</v>
      </c>
      <c r="S33" s="200">
        <f>$F$16*$I$17*K33</f>
        <v>0</v>
      </c>
      <c r="T33" s="8"/>
      <c r="U33" s="2" t="s">
        <v>590</v>
      </c>
      <c r="V33" s="202">
        <f>($I$17*$F$22*K33)</f>
        <v>0</v>
      </c>
      <c r="W33" s="203">
        <f>(($B$80*GIS_inputs!C123)/2000)*($F$44+$F$45)+($F$36*K33)</f>
        <v>0</v>
      </c>
      <c r="X33" s="204">
        <f t="shared" si="4"/>
        <v>0</v>
      </c>
      <c r="Y33" s="204">
        <f>(($F$70*$F$72)+$F$74+$F$75+$F$76+($F$73*K33))*(GIS_inputs!C123/GIS_inputs!$C$125)</f>
        <v>0</v>
      </c>
      <c r="Z33" s="205">
        <f>SUM(V33:Y33)</f>
        <v>0</v>
      </c>
      <c r="AA33" s="8"/>
      <c r="AB33" s="2" t="s">
        <v>624</v>
      </c>
      <c r="AC33" s="205">
        <f>S33</f>
        <v>0</v>
      </c>
      <c r="AD33" s="205">
        <f>Z33</f>
        <v>0</v>
      </c>
      <c r="AE33" s="205">
        <f>((GIS_inputs!C123*Depopulation!B78)/2000)*($B$64)</f>
        <v>0</v>
      </c>
      <c r="AF33" s="205">
        <f>AC33+AD33+AE33</f>
        <v>0</v>
      </c>
      <c r="AG33" s="126"/>
    </row>
    <row r="34" spans="1:33" x14ac:dyDescent="0.35">
      <c r="A34" s="419" t="s">
        <v>365</v>
      </c>
      <c r="B34" s="221">
        <v>30</v>
      </c>
      <c r="C34" s="11" t="s">
        <v>120</v>
      </c>
      <c r="D34" s="220">
        <v>4</v>
      </c>
      <c r="E34" s="11" t="s">
        <v>117</v>
      </c>
      <c r="F34" s="225">
        <f>D34*B34</f>
        <v>120</v>
      </c>
      <c r="G34" s="410" t="s">
        <v>1192</v>
      </c>
      <c r="H34" s="8"/>
      <c r="I34" s="124"/>
      <c r="J34" s="177" t="s">
        <v>567</v>
      </c>
      <c r="K34" s="197">
        <f>(GIS_inputs!C124/($I$18*$I$17))</f>
        <v>0</v>
      </c>
      <c r="L34" s="197">
        <f>(((GIS_inputs!C124*$B$80)/2000)/(IF(Rendering!$F$50&gt;0,Rendering!$F$50,(IF(Rendering!$F$53&gt;0,Rendering!$F$53,IF(Rendering!$F$56&gt;0,Rendering!$F$56,Rendering!$F$59))))*(IF(Rendering!$F$50&gt;0,Rendering!$F$51,(IF(Rendering!$F$53&gt;0,Rendering!$F$54,IF(Rendering!$F$56&gt;0,Rendering!$F$57,Rendering!$F$60)))))))</f>
        <v>0</v>
      </c>
      <c r="M34" s="197">
        <f>(((GIS_inputs!C124)*B83/2000)/$F$65)</f>
        <v>0</v>
      </c>
      <c r="N34" s="197">
        <f>($F$72/$F$71)*(M34/$M$41)</f>
        <v>0</v>
      </c>
      <c r="O34" s="444">
        <f t="shared" si="3"/>
        <v>0</v>
      </c>
      <c r="P34" s="125" t="s">
        <v>432</v>
      </c>
      <c r="Q34" s="8"/>
      <c r="R34" s="177" t="s">
        <v>581</v>
      </c>
      <c r="S34" s="200">
        <f>$F$16*$I$17*K34</f>
        <v>0</v>
      </c>
      <c r="T34" s="8"/>
      <c r="U34" s="2" t="s">
        <v>594</v>
      </c>
      <c r="V34" s="202">
        <f>($I$17*$F$22*K34)</f>
        <v>0</v>
      </c>
      <c r="W34" s="203">
        <f>(($B$80*GIS_inputs!C124)/2000)*($F$44+$F$45)+($F$36*K34)</f>
        <v>0</v>
      </c>
      <c r="X34" s="204">
        <f t="shared" si="4"/>
        <v>0</v>
      </c>
      <c r="Y34" s="204">
        <f>(($F$70*$F$72)+$F$74+$F$75+$F$76+($F$73*K34))*(GIS_inputs!C124/GIS_inputs!$C$125)</f>
        <v>0</v>
      </c>
      <c r="Z34" s="205">
        <f>SUM(V34:Y34)</f>
        <v>0</v>
      </c>
      <c r="AA34" s="8"/>
      <c r="AB34" s="2" t="s">
        <v>625</v>
      </c>
      <c r="AC34" s="205">
        <f>S34</f>
        <v>0</v>
      </c>
      <c r="AD34" s="205">
        <f>Z34</f>
        <v>0</v>
      </c>
      <c r="AE34" s="205">
        <f>((GIS_inputs!C124*Depopulation!B79)/2000)*($B$64)</f>
        <v>0</v>
      </c>
      <c r="AF34" s="205">
        <f>AC34+AD34+AE34</f>
        <v>0</v>
      </c>
      <c r="AG34" s="126"/>
    </row>
    <row r="35" spans="1:33" x14ac:dyDescent="0.35">
      <c r="A35" s="419" t="s">
        <v>364</v>
      </c>
      <c r="B35" s="221">
        <v>745</v>
      </c>
      <c r="C35" s="11" t="s">
        <v>163</v>
      </c>
      <c r="D35" s="220">
        <v>1</v>
      </c>
      <c r="E35" s="11" t="s">
        <v>117</v>
      </c>
      <c r="F35" s="225">
        <f>D35*B35/7</f>
        <v>106.42857142857143</v>
      </c>
      <c r="G35" s="410" t="s">
        <v>149</v>
      </c>
      <c r="H35" s="8"/>
      <c r="I35" s="124"/>
      <c r="J35" s="124"/>
      <c r="K35" s="193"/>
      <c r="L35" s="193"/>
      <c r="M35" s="8"/>
      <c r="N35" s="8"/>
      <c r="O35" s="8"/>
      <c r="P35" s="126"/>
      <c r="Q35" s="8"/>
      <c r="R35" s="124"/>
      <c r="S35" s="181"/>
      <c r="T35" s="8"/>
      <c r="U35" s="8"/>
      <c r="V35" s="188"/>
      <c r="W35" s="188"/>
      <c r="X35" s="189"/>
      <c r="Y35" s="8"/>
      <c r="Z35" s="8"/>
      <c r="AA35" s="8"/>
      <c r="AB35" s="8"/>
      <c r="AC35" s="184"/>
      <c r="AD35" s="8"/>
      <c r="AE35" s="8"/>
      <c r="AF35" s="8"/>
      <c r="AG35" s="126"/>
    </row>
    <row r="36" spans="1:33" ht="29" x14ac:dyDescent="0.35">
      <c r="A36" s="539" t="s">
        <v>374</v>
      </c>
      <c r="B36" s="535">
        <v>513</v>
      </c>
      <c r="C36" s="272" t="s">
        <v>163</v>
      </c>
      <c r="D36" s="536">
        <v>5</v>
      </c>
      <c r="E36" s="272" t="s">
        <v>117</v>
      </c>
      <c r="F36" s="540">
        <f>D36*B36/7</f>
        <v>366.42857142857144</v>
      </c>
      <c r="G36" s="541" t="s">
        <v>149</v>
      </c>
      <c r="H36" s="8"/>
      <c r="I36" s="124"/>
      <c r="J36" s="177" t="s">
        <v>568</v>
      </c>
      <c r="K36" s="212">
        <f>K31+K26</f>
        <v>151.66666666666669</v>
      </c>
      <c r="L36" s="212">
        <f>L26+L31</f>
        <v>3640</v>
      </c>
      <c r="M36" s="212">
        <f>M31+M26</f>
        <v>3412.5</v>
      </c>
      <c r="N36" s="212">
        <f>N31+N26</f>
        <v>1.1999999999999997</v>
      </c>
      <c r="O36" s="212">
        <f>O26+O31</f>
        <v>7205.3666666666659</v>
      </c>
      <c r="P36" s="125" t="s">
        <v>432</v>
      </c>
      <c r="Q36" s="8"/>
      <c r="R36" s="177" t="s">
        <v>582</v>
      </c>
      <c r="S36" s="200">
        <f>S26+S31</f>
        <v>8954400</v>
      </c>
      <c r="T36" s="8"/>
      <c r="U36" s="2" t="s">
        <v>595</v>
      </c>
      <c r="V36" s="204">
        <f>V31+V26</f>
        <v>746200</v>
      </c>
      <c r="W36" s="223">
        <f>W31+W26</f>
        <v>601575</v>
      </c>
      <c r="X36" s="223">
        <f>X31+X26</f>
        <v>351183.33333333331</v>
      </c>
      <c r="Y36" s="223">
        <f>Y31+Y26</f>
        <v>6143626.666666666</v>
      </c>
      <c r="Z36" s="205">
        <f>SUM(V36:Y36)</f>
        <v>7842584.9999999991</v>
      </c>
      <c r="AA36" s="8"/>
      <c r="AB36" s="2" t="s">
        <v>626</v>
      </c>
      <c r="AC36" s="205">
        <f>S36</f>
        <v>8954400</v>
      </c>
      <c r="AD36" s="205">
        <f>Z36</f>
        <v>7842584.9999999991</v>
      </c>
      <c r="AE36" s="205">
        <f>AE26+AE31</f>
        <v>56784000</v>
      </c>
      <c r="AF36" s="205">
        <f>AC36+AD36+AE36</f>
        <v>73580985</v>
      </c>
      <c r="AG36" s="126"/>
    </row>
    <row r="37" spans="1:33" ht="15" customHeight="1" x14ac:dyDescent="0.35">
      <c r="A37" s="539" t="s">
        <v>1208</v>
      </c>
      <c r="B37" s="535"/>
      <c r="C37" s="272"/>
      <c r="D37" s="536"/>
      <c r="E37" s="272"/>
      <c r="F37" s="540"/>
      <c r="G37" s="410" t="s">
        <v>1192</v>
      </c>
      <c r="H37" s="8"/>
      <c r="I37" s="124"/>
      <c r="J37" s="177" t="s">
        <v>569</v>
      </c>
      <c r="K37" s="212">
        <f t="shared" ref="K37:N39" si="5">K32+K27</f>
        <v>0</v>
      </c>
      <c r="L37" s="212">
        <f>L27+L32</f>
        <v>0</v>
      </c>
      <c r="M37" s="212">
        <f t="shared" si="5"/>
        <v>0</v>
      </c>
      <c r="N37" s="212">
        <f t="shared" si="5"/>
        <v>0</v>
      </c>
      <c r="O37" s="212">
        <f t="shared" ref="O37:O39" si="6">O27+O32</f>
        <v>0</v>
      </c>
      <c r="P37" s="125" t="s">
        <v>432</v>
      </c>
      <c r="Q37" s="8"/>
      <c r="R37" s="177" t="s">
        <v>583</v>
      </c>
      <c r="S37" s="200">
        <f>S27+S32</f>
        <v>0</v>
      </c>
      <c r="T37" s="8"/>
      <c r="U37" s="2" t="s">
        <v>596</v>
      </c>
      <c r="V37" s="204">
        <f t="shared" ref="V37:Y39" si="7">V32+V27</f>
        <v>0</v>
      </c>
      <c r="W37" s="223">
        <f t="shared" si="7"/>
        <v>0</v>
      </c>
      <c r="X37" s="223">
        <f t="shared" si="7"/>
        <v>0</v>
      </c>
      <c r="Y37" s="223">
        <f t="shared" si="7"/>
        <v>0</v>
      </c>
      <c r="Z37" s="205">
        <f>SUM(V37:Y37)</f>
        <v>0</v>
      </c>
      <c r="AA37" s="8"/>
      <c r="AB37" s="2" t="s">
        <v>627</v>
      </c>
      <c r="AC37" s="205">
        <f>S37</f>
        <v>0</v>
      </c>
      <c r="AD37" s="205">
        <f>Z37</f>
        <v>0</v>
      </c>
      <c r="AE37" s="205">
        <f t="shared" ref="AE37:AE39" si="8">AE27+AE32</f>
        <v>0</v>
      </c>
      <c r="AF37" s="205">
        <f>AC37+AD37+AE37</f>
        <v>0</v>
      </c>
      <c r="AG37" s="126"/>
    </row>
    <row r="38" spans="1:33" x14ac:dyDescent="0.35">
      <c r="A38" s="531"/>
      <c r="B38" s="5"/>
      <c r="C38" s="11"/>
      <c r="D38" s="31"/>
      <c r="E38" s="11"/>
      <c r="F38" s="33"/>
      <c r="G38" s="410"/>
      <c r="H38" s="8"/>
      <c r="I38" s="124"/>
      <c r="J38" s="177" t="s">
        <v>570</v>
      </c>
      <c r="K38" s="212">
        <f t="shared" si="5"/>
        <v>0</v>
      </c>
      <c r="L38" s="212">
        <f>L28+L33</f>
        <v>0</v>
      </c>
      <c r="M38" s="212">
        <f t="shared" si="5"/>
        <v>0</v>
      </c>
      <c r="N38" s="212">
        <f t="shared" si="5"/>
        <v>0</v>
      </c>
      <c r="O38" s="212">
        <f t="shared" si="6"/>
        <v>0</v>
      </c>
      <c r="P38" s="125" t="s">
        <v>432</v>
      </c>
      <c r="Q38" s="8"/>
      <c r="R38" s="177" t="s">
        <v>584</v>
      </c>
      <c r="S38" s="200">
        <f>S28+S33</f>
        <v>0</v>
      </c>
      <c r="T38" s="8"/>
      <c r="U38" s="2" t="s">
        <v>597</v>
      </c>
      <c r="V38" s="204">
        <f t="shared" si="7"/>
        <v>0</v>
      </c>
      <c r="W38" s="223">
        <f t="shared" si="7"/>
        <v>0</v>
      </c>
      <c r="X38" s="223">
        <f t="shared" si="7"/>
        <v>0</v>
      </c>
      <c r="Y38" s="223">
        <f t="shared" si="7"/>
        <v>0</v>
      </c>
      <c r="Z38" s="205">
        <f>SUM(V38:Y38)</f>
        <v>0</v>
      </c>
      <c r="AA38" s="8"/>
      <c r="AB38" s="2" t="s">
        <v>628</v>
      </c>
      <c r="AC38" s="205">
        <f>S38</f>
        <v>0</v>
      </c>
      <c r="AD38" s="205">
        <f>Z38</f>
        <v>0</v>
      </c>
      <c r="AE38" s="205">
        <f t="shared" si="8"/>
        <v>0</v>
      </c>
      <c r="AF38" s="205">
        <f>AC38+AD38+AE38</f>
        <v>0</v>
      </c>
      <c r="AG38" s="126"/>
    </row>
    <row r="39" spans="1:33" x14ac:dyDescent="0.35">
      <c r="A39" s="341" t="s">
        <v>87</v>
      </c>
      <c r="B39" s="5"/>
      <c r="C39" s="11"/>
      <c r="D39" s="31"/>
      <c r="E39" s="11"/>
      <c r="F39" s="115">
        <f>F33+F34+F37</f>
        <v>280</v>
      </c>
      <c r="G39" s="420" t="s">
        <v>1192</v>
      </c>
      <c r="H39" s="8"/>
      <c r="I39" s="124"/>
      <c r="J39" s="177" t="s">
        <v>571</v>
      </c>
      <c r="K39" s="212">
        <f t="shared" si="5"/>
        <v>0</v>
      </c>
      <c r="L39" s="212">
        <f>L29+L34</f>
        <v>0</v>
      </c>
      <c r="M39" s="212">
        <f t="shared" si="5"/>
        <v>0</v>
      </c>
      <c r="N39" s="212">
        <f t="shared" si="5"/>
        <v>0</v>
      </c>
      <c r="O39" s="212">
        <f t="shared" si="6"/>
        <v>0</v>
      </c>
      <c r="P39" s="125" t="s">
        <v>432</v>
      </c>
      <c r="Q39" s="8"/>
      <c r="R39" s="177" t="s">
        <v>585</v>
      </c>
      <c r="S39" s="200">
        <f>S29+S34</f>
        <v>0</v>
      </c>
      <c r="T39" s="8"/>
      <c r="U39" s="2" t="s">
        <v>598</v>
      </c>
      <c r="V39" s="204">
        <f t="shared" si="7"/>
        <v>0</v>
      </c>
      <c r="W39" s="223">
        <f t="shared" si="7"/>
        <v>0</v>
      </c>
      <c r="X39" s="223">
        <f t="shared" si="7"/>
        <v>0</v>
      </c>
      <c r="Y39" s="223">
        <f t="shared" si="7"/>
        <v>0</v>
      </c>
      <c r="Z39" s="205">
        <f>SUM(V39:Y39)</f>
        <v>0</v>
      </c>
      <c r="AA39" s="8"/>
      <c r="AB39" s="2" t="s">
        <v>629</v>
      </c>
      <c r="AC39" s="205">
        <f>S39</f>
        <v>0</v>
      </c>
      <c r="AD39" s="205">
        <f>Z39</f>
        <v>0</v>
      </c>
      <c r="AE39" s="205">
        <f t="shared" si="8"/>
        <v>0</v>
      </c>
      <c r="AF39" s="205">
        <f>AC39+AD39+AE39</f>
        <v>0</v>
      </c>
      <c r="AG39" s="126"/>
    </row>
    <row r="40" spans="1:33" ht="15" thickBot="1" x14ac:dyDescent="0.4">
      <c r="A40" s="284" t="s">
        <v>105</v>
      </c>
      <c r="B40" s="305"/>
      <c r="C40" s="306"/>
      <c r="D40" s="336"/>
      <c r="E40" s="306"/>
      <c r="F40" s="318">
        <f>F32+F35+F36</f>
        <v>752.85714285714289</v>
      </c>
      <c r="G40" s="290" t="s">
        <v>149</v>
      </c>
      <c r="H40" s="8"/>
      <c r="I40" s="124"/>
      <c r="J40" s="124"/>
      <c r="K40" s="193"/>
      <c r="L40" s="193"/>
      <c r="M40" s="8"/>
      <c r="N40" s="8"/>
      <c r="O40" s="8"/>
      <c r="P40" s="126"/>
      <c r="Q40" s="8"/>
      <c r="R40" s="124"/>
      <c r="S40" s="181"/>
      <c r="T40" s="8"/>
      <c r="U40" s="2"/>
      <c r="V40" s="185"/>
      <c r="W40" s="186"/>
      <c r="X40" s="186"/>
      <c r="Y40" s="186"/>
      <c r="Z40" s="187"/>
      <c r="AA40" s="8"/>
      <c r="AB40" s="2"/>
      <c r="AC40" s="182"/>
      <c r="AD40" s="2"/>
      <c r="AE40" s="2"/>
      <c r="AF40" s="2"/>
      <c r="AG40" s="126"/>
    </row>
    <row r="41" spans="1:33" ht="15" customHeight="1" thickBot="1" x14ac:dyDescent="0.4">
      <c r="A41" s="308"/>
      <c r="B41" s="319"/>
      <c r="C41" s="293"/>
      <c r="D41" s="293"/>
      <c r="E41" s="293"/>
      <c r="F41" s="293"/>
      <c r="G41" s="297"/>
      <c r="H41" s="8"/>
      <c r="I41" s="124"/>
      <c r="J41" s="178" t="s">
        <v>572</v>
      </c>
      <c r="K41" s="213">
        <f>SUM(K36:K39)</f>
        <v>151.66666666666669</v>
      </c>
      <c r="L41" s="213">
        <f>SUM(L36:L39)</f>
        <v>3640</v>
      </c>
      <c r="M41" s="213">
        <f>SUM(M36:M39)</f>
        <v>3412.5</v>
      </c>
      <c r="N41" s="213">
        <f>SUM(N36:N39)</f>
        <v>1.1999999999999997</v>
      </c>
      <c r="O41" s="213">
        <f>SUM(O36:O39)</f>
        <v>7205.3666666666659</v>
      </c>
      <c r="P41" s="129" t="s">
        <v>432</v>
      </c>
      <c r="Q41" s="8"/>
      <c r="R41" s="178" t="s">
        <v>586</v>
      </c>
      <c r="S41" s="201">
        <f>SUM(S36:S39)</f>
        <v>8954400</v>
      </c>
      <c r="T41" s="8"/>
      <c r="U41" s="4" t="s">
        <v>599</v>
      </c>
      <c r="V41" s="204">
        <f>SUM(V36:V39)</f>
        <v>746200</v>
      </c>
      <c r="W41" s="207">
        <f>SUM(W36:W39)</f>
        <v>601575</v>
      </c>
      <c r="X41" s="207">
        <f>SUM(X36:X39)</f>
        <v>351183.33333333331</v>
      </c>
      <c r="Y41" s="207">
        <f>SUM(Y36:Y39)</f>
        <v>6143626.666666666</v>
      </c>
      <c r="Z41" s="205">
        <f>SUM(V41:Y41)</f>
        <v>7842584.9999999991</v>
      </c>
      <c r="AA41" s="8"/>
      <c r="AB41" s="4" t="s">
        <v>808</v>
      </c>
      <c r="AC41" s="208">
        <f>SUM(AC36:AC39)</f>
        <v>8954400</v>
      </c>
      <c r="AD41" s="208">
        <f>SUM(AD36:AD39)</f>
        <v>7842584.9999999991</v>
      </c>
      <c r="AE41" s="208">
        <f>SUM(AE36:AE39)</f>
        <v>56784000</v>
      </c>
      <c r="AF41" s="208">
        <f>SUM(AF36:AF39)</f>
        <v>73580985</v>
      </c>
      <c r="AG41" s="126"/>
    </row>
    <row r="42" spans="1:33" x14ac:dyDescent="0.35">
      <c r="A42" s="314" t="s">
        <v>133</v>
      </c>
      <c r="B42" s="278" t="s">
        <v>28</v>
      </c>
      <c r="C42" s="278" t="s">
        <v>150</v>
      </c>
      <c r="D42" s="278" t="s">
        <v>65</v>
      </c>
      <c r="E42" s="278" t="s">
        <v>150</v>
      </c>
      <c r="F42" s="279" t="s">
        <v>30</v>
      </c>
      <c r="G42" s="280" t="s">
        <v>150</v>
      </c>
      <c r="H42" s="8"/>
      <c r="I42" s="124"/>
      <c r="J42" s="8"/>
      <c r="K42" s="8"/>
      <c r="L42" s="8"/>
      <c r="M42" s="8"/>
      <c r="N42" s="8"/>
      <c r="O42" s="8"/>
      <c r="P42" s="8"/>
      <c r="Q42" s="8"/>
      <c r="R42" s="8"/>
      <c r="S42" s="8"/>
      <c r="T42" s="8"/>
      <c r="U42" s="8"/>
      <c r="V42" s="8"/>
      <c r="W42" s="8"/>
      <c r="X42" s="8"/>
      <c r="Y42" s="8"/>
      <c r="Z42" s="8"/>
      <c r="AA42" s="8"/>
      <c r="AB42" s="8"/>
      <c r="AC42" s="8"/>
      <c r="AD42" s="8"/>
      <c r="AE42" s="8"/>
      <c r="AF42" s="8"/>
      <c r="AG42" s="126"/>
    </row>
    <row r="43" spans="1:33" x14ac:dyDescent="0.35">
      <c r="A43" s="322"/>
      <c r="B43" s="73"/>
      <c r="C43" s="73"/>
      <c r="D43" s="73"/>
      <c r="E43" s="73"/>
      <c r="F43" s="74"/>
      <c r="G43" s="283"/>
      <c r="H43" s="8"/>
      <c r="I43" s="124"/>
      <c r="J43" s="9"/>
      <c r="K43" s="9"/>
      <c r="L43" s="9"/>
      <c r="M43" s="9"/>
      <c r="N43" s="9"/>
      <c r="O43" s="9"/>
      <c r="P43" s="8"/>
      <c r="Q43" s="9"/>
      <c r="R43" s="9"/>
      <c r="S43" s="8"/>
      <c r="T43" s="8"/>
      <c r="U43" s="8"/>
      <c r="V43" s="8"/>
      <c r="W43" s="8"/>
      <c r="X43" s="8"/>
      <c r="Y43" s="184"/>
      <c r="Z43" s="8"/>
      <c r="AA43" s="8"/>
      <c r="AB43" s="8"/>
      <c r="AC43" s="8"/>
      <c r="AD43" s="8"/>
      <c r="AE43" s="8"/>
      <c r="AF43" s="8"/>
      <c r="AG43" s="126"/>
    </row>
    <row r="44" spans="1:33" x14ac:dyDescent="0.35">
      <c r="A44" s="323" t="s">
        <v>375</v>
      </c>
      <c r="B44" s="221">
        <v>1</v>
      </c>
      <c r="C44" s="11" t="s">
        <v>152</v>
      </c>
      <c r="D44" s="220"/>
      <c r="E44" s="11"/>
      <c r="F44" s="114">
        <f>B44</f>
        <v>1</v>
      </c>
      <c r="G44" s="303" t="s">
        <v>152</v>
      </c>
      <c r="H44" s="224"/>
      <c r="I44" s="190"/>
      <c r="J44" s="8"/>
      <c r="K44" s="191"/>
      <c r="L44" s="8"/>
      <c r="M44" s="8"/>
      <c r="N44" s="8"/>
      <c r="O44" s="8"/>
      <c r="P44" s="9"/>
      <c r="Q44" s="8"/>
      <c r="R44" s="192"/>
      <c r="S44" s="8"/>
      <c r="T44" s="8"/>
      <c r="U44" s="8"/>
      <c r="V44" s="8"/>
      <c r="W44" s="8"/>
      <c r="X44" s="8"/>
      <c r="Y44" s="8"/>
      <c r="Z44" s="8"/>
      <c r="AA44" s="8"/>
      <c r="AB44" s="8"/>
      <c r="AC44" s="8"/>
      <c r="AD44" s="8"/>
      <c r="AE44" s="8"/>
      <c r="AF44" s="8"/>
      <c r="AG44" s="126"/>
    </row>
    <row r="45" spans="1:33" ht="15" thickBot="1" x14ac:dyDescent="0.4">
      <c r="A45" s="324" t="s">
        <v>391</v>
      </c>
      <c r="B45" s="285">
        <v>1</v>
      </c>
      <c r="C45" s="306" t="s">
        <v>152</v>
      </c>
      <c r="D45" s="317"/>
      <c r="E45" s="306"/>
      <c r="F45" s="325">
        <f>B45</f>
        <v>1</v>
      </c>
      <c r="G45" s="290" t="s">
        <v>152</v>
      </c>
      <c r="H45" s="8"/>
      <c r="I45" s="124"/>
      <c r="J45" s="8"/>
      <c r="K45" s="8"/>
      <c r="L45" s="8"/>
      <c r="M45" s="8"/>
      <c r="N45" s="8"/>
      <c r="O45" s="8"/>
      <c r="P45" s="8"/>
      <c r="Q45" s="8"/>
      <c r="R45" s="192"/>
      <c r="S45" s="8"/>
      <c r="T45" s="8"/>
      <c r="U45" s="8"/>
      <c r="V45" s="8"/>
      <c r="W45" s="8"/>
      <c r="X45" s="8"/>
      <c r="Y45" s="8"/>
      <c r="Z45" s="8"/>
      <c r="AA45" s="8"/>
      <c r="AB45" s="8"/>
      <c r="AC45" s="8"/>
      <c r="AD45" s="8"/>
      <c r="AE45" s="8"/>
      <c r="AF45" s="8"/>
      <c r="AG45" s="126"/>
    </row>
    <row r="46" spans="1:33" ht="15" thickBot="1" x14ac:dyDescent="0.4">
      <c r="A46" s="320"/>
      <c r="B46" s="326"/>
      <c r="C46" s="310"/>
      <c r="D46" s="310"/>
      <c r="E46" s="293"/>
      <c r="F46" s="293"/>
      <c r="G46" s="297"/>
      <c r="H46" s="8"/>
      <c r="I46" s="124"/>
      <c r="J46" s="8"/>
      <c r="K46" s="8"/>
      <c r="L46" s="8"/>
      <c r="M46" s="8"/>
      <c r="N46" s="8"/>
      <c r="O46" s="8"/>
      <c r="P46" s="8"/>
      <c r="Q46" s="8"/>
      <c r="R46" s="8"/>
      <c r="S46" s="8"/>
      <c r="T46" s="8" t="s">
        <v>467</v>
      </c>
      <c r="U46" s="8"/>
      <c r="V46" s="8"/>
      <c r="W46" s="8"/>
      <c r="X46" s="8"/>
      <c r="Y46" s="8"/>
      <c r="Z46" s="8"/>
      <c r="AA46" s="8"/>
      <c r="AB46" s="8"/>
      <c r="AC46" s="8"/>
      <c r="AD46" s="8"/>
      <c r="AE46" s="8"/>
      <c r="AF46" s="8"/>
      <c r="AG46" s="126"/>
    </row>
    <row r="47" spans="1:33" ht="15" thickBot="1" x14ac:dyDescent="0.4">
      <c r="A47" s="314" t="s">
        <v>130</v>
      </c>
      <c r="B47" s="278" t="s">
        <v>28</v>
      </c>
      <c r="C47" s="278" t="s">
        <v>150</v>
      </c>
      <c r="D47" s="278" t="s">
        <v>65</v>
      </c>
      <c r="E47" s="278" t="s">
        <v>150</v>
      </c>
      <c r="F47" s="279" t="s">
        <v>30</v>
      </c>
      <c r="G47" s="280" t="s">
        <v>150</v>
      </c>
      <c r="H47" s="8"/>
      <c r="I47" s="127"/>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4"/>
    </row>
    <row r="48" spans="1:33" x14ac:dyDescent="0.35">
      <c r="A48" s="328"/>
      <c r="B48" s="73"/>
      <c r="C48" s="73"/>
      <c r="D48" s="73"/>
      <c r="E48" s="73"/>
      <c r="F48" s="74"/>
      <c r="G48" s="283"/>
      <c r="H48" s="194"/>
      <c r="I48" s="218"/>
      <c r="J48" s="218"/>
      <c r="K48" s="218"/>
      <c r="L48" s="218"/>
      <c r="M48" s="218"/>
      <c r="N48" s="218"/>
    </row>
    <row r="49" spans="1:40" x14ac:dyDescent="0.35">
      <c r="A49" s="116" t="s">
        <v>134</v>
      </c>
      <c r="B49" s="221">
        <v>2.1800000000000002</v>
      </c>
      <c r="C49" s="11" t="s">
        <v>373</v>
      </c>
      <c r="D49" s="31"/>
      <c r="E49" s="11"/>
      <c r="F49" s="114">
        <f>B49</f>
        <v>2.1800000000000002</v>
      </c>
      <c r="G49" s="303" t="s">
        <v>373</v>
      </c>
      <c r="H49" s="210"/>
      <c r="L49" s="219"/>
      <c r="M49" s="218"/>
      <c r="N49" s="218"/>
      <c r="O49" s="218"/>
    </row>
    <row r="50" spans="1:40" x14ac:dyDescent="0.35">
      <c r="A50" s="116"/>
      <c r="B50" s="221"/>
      <c r="C50" s="11"/>
      <c r="D50" s="220">
        <v>0</v>
      </c>
      <c r="E50" s="11" t="s">
        <v>616</v>
      </c>
      <c r="F50" s="113">
        <f>D50</f>
        <v>0</v>
      </c>
      <c r="G50" s="303" t="s">
        <v>616</v>
      </c>
      <c r="H50" s="210"/>
      <c r="L50" s="218"/>
      <c r="M50" s="218"/>
      <c r="N50" s="218"/>
      <c r="O50" s="218"/>
    </row>
    <row r="51" spans="1:40" ht="29" x14ac:dyDescent="0.35">
      <c r="A51" s="116"/>
      <c r="B51" s="5"/>
      <c r="C51" s="11"/>
      <c r="D51" s="220">
        <v>15</v>
      </c>
      <c r="E51" s="11" t="s">
        <v>617</v>
      </c>
      <c r="F51" s="113">
        <f>D51</f>
        <v>15</v>
      </c>
      <c r="G51" s="303" t="s">
        <v>617</v>
      </c>
      <c r="H51" s="194"/>
      <c r="I51" s="218"/>
      <c r="J51" s="218"/>
      <c r="K51" s="218"/>
      <c r="L51" s="218"/>
      <c r="M51" s="218"/>
      <c r="N51" s="218"/>
      <c r="O51" s="218"/>
    </row>
    <row r="52" spans="1:40" x14ac:dyDescent="0.35">
      <c r="A52" s="116" t="s">
        <v>135</v>
      </c>
      <c r="B52" s="221">
        <v>2.1800000000000002</v>
      </c>
      <c r="C52" s="11" t="s">
        <v>373</v>
      </c>
      <c r="D52" s="31"/>
      <c r="E52" s="11"/>
      <c r="F52" s="114">
        <f t="shared" ref="F52:F58" si="9">B52</f>
        <v>2.1800000000000002</v>
      </c>
      <c r="G52" s="303" t="s">
        <v>373</v>
      </c>
      <c r="H52" s="210"/>
      <c r="I52" s="218"/>
      <c r="J52" s="218"/>
      <c r="K52" s="218"/>
      <c r="L52" s="218"/>
      <c r="M52" s="218"/>
      <c r="N52" s="218"/>
      <c r="O52" s="219"/>
      <c r="P52" s="12"/>
      <c r="Q52" s="12"/>
      <c r="R52" s="12"/>
      <c r="S52" s="12"/>
      <c r="T52" s="12"/>
      <c r="U52" s="12"/>
      <c r="V52" s="12"/>
      <c r="W52" s="12"/>
      <c r="X52" s="12"/>
      <c r="Y52" s="12"/>
      <c r="Z52" s="12"/>
      <c r="AA52" s="12"/>
      <c r="AB52" s="12"/>
      <c r="AC52" s="12"/>
      <c r="AD52" s="12"/>
      <c r="AE52" s="12"/>
      <c r="AF52" s="12"/>
      <c r="AG52" s="12"/>
      <c r="AH52" s="12"/>
      <c r="AI52" s="12"/>
      <c r="AJ52" s="12"/>
      <c r="AK52" s="12"/>
      <c r="AL52" s="12"/>
    </row>
    <row r="53" spans="1:40" s="12" customFormat="1" x14ac:dyDescent="0.35">
      <c r="A53" s="329"/>
      <c r="B53" s="221"/>
      <c r="C53" s="11"/>
      <c r="D53" s="220">
        <v>0</v>
      </c>
      <c r="E53" s="11" t="s">
        <v>616</v>
      </c>
      <c r="F53" s="113">
        <f>D53</f>
        <v>0</v>
      </c>
      <c r="G53" s="303" t="s">
        <v>616</v>
      </c>
      <c r="H53" s="210"/>
      <c r="I53" s="219"/>
      <c r="J53" s="219"/>
      <c r="K53" s="219"/>
      <c r="L53" s="219"/>
      <c r="M53" s="219"/>
      <c r="N53" s="219"/>
      <c r="O53" s="218"/>
      <c r="P53"/>
      <c r="Q53"/>
      <c r="R53"/>
      <c r="S53"/>
      <c r="T53"/>
      <c r="U53"/>
      <c r="V53"/>
      <c r="W53"/>
      <c r="X53"/>
      <c r="Y53"/>
      <c r="Z53"/>
      <c r="AA53"/>
      <c r="AB53"/>
      <c r="AC53"/>
      <c r="AD53"/>
      <c r="AE53"/>
      <c r="AF53"/>
      <c r="AG53"/>
      <c r="AH53"/>
      <c r="AI53"/>
      <c r="AJ53"/>
      <c r="AK53"/>
      <c r="AL53"/>
      <c r="AM53"/>
      <c r="AN53"/>
    </row>
    <row r="54" spans="1:40" ht="29" x14ac:dyDescent="0.35">
      <c r="A54" s="329"/>
      <c r="B54" s="5"/>
      <c r="C54" s="11"/>
      <c r="D54" s="220">
        <v>15</v>
      </c>
      <c r="E54" s="11" t="s">
        <v>617</v>
      </c>
      <c r="F54" s="113">
        <f>D54</f>
        <v>15</v>
      </c>
      <c r="G54" s="303" t="s">
        <v>617</v>
      </c>
      <c r="H54" s="194"/>
      <c r="L54" s="218"/>
      <c r="M54" s="218"/>
      <c r="N54" s="218"/>
      <c r="O54" s="218"/>
      <c r="AN54" s="12"/>
    </row>
    <row r="55" spans="1:40" x14ac:dyDescent="0.35">
      <c r="A55" s="330" t="s">
        <v>136</v>
      </c>
      <c r="B55" s="221">
        <v>2.1800000000000002</v>
      </c>
      <c r="C55" s="11" t="s">
        <v>373</v>
      </c>
      <c r="D55" s="31"/>
      <c r="E55" s="11"/>
      <c r="F55" s="114">
        <f t="shared" si="9"/>
        <v>2.1800000000000002</v>
      </c>
      <c r="G55" s="303" t="s">
        <v>373</v>
      </c>
      <c r="H55" s="210"/>
      <c r="O55" s="218"/>
    </row>
    <row r="56" spans="1:40" x14ac:dyDescent="0.35">
      <c r="A56" s="329"/>
      <c r="B56" s="221"/>
      <c r="C56" s="11"/>
      <c r="D56" s="220">
        <v>5</v>
      </c>
      <c r="E56" s="11" t="s">
        <v>616</v>
      </c>
      <c r="F56" s="113">
        <f>D56</f>
        <v>5</v>
      </c>
      <c r="G56" s="303" t="s">
        <v>616</v>
      </c>
      <c r="H56" s="210"/>
      <c r="O56" s="218"/>
      <c r="AM56" s="12"/>
    </row>
    <row r="57" spans="1:40" ht="29" x14ac:dyDescent="0.35">
      <c r="A57" s="329"/>
      <c r="B57" s="5"/>
      <c r="C57" s="11"/>
      <c r="D57" s="220">
        <v>15</v>
      </c>
      <c r="E57" s="11" t="s">
        <v>617</v>
      </c>
      <c r="F57" s="113">
        <f>D57</f>
        <v>15</v>
      </c>
      <c r="G57" s="303" t="s">
        <v>617</v>
      </c>
      <c r="H57" s="194"/>
      <c r="O57" s="218"/>
    </row>
    <row r="58" spans="1:40" x14ac:dyDescent="0.35">
      <c r="A58" s="116" t="s">
        <v>137</v>
      </c>
      <c r="B58" s="221">
        <v>2.1800000000000002</v>
      </c>
      <c r="C58" s="11" t="s">
        <v>373</v>
      </c>
      <c r="D58" s="31"/>
      <c r="E58" s="11"/>
      <c r="F58" s="114">
        <f t="shared" si="9"/>
        <v>2.1800000000000002</v>
      </c>
      <c r="G58" s="303" t="s">
        <v>373</v>
      </c>
      <c r="H58" s="210"/>
    </row>
    <row r="59" spans="1:40" x14ac:dyDescent="0.35">
      <c r="A59" s="331"/>
      <c r="B59" s="221"/>
      <c r="C59" s="11"/>
      <c r="D59" s="220">
        <v>0</v>
      </c>
      <c r="E59" s="11" t="s">
        <v>616</v>
      </c>
      <c r="F59" s="113">
        <f>D59</f>
        <v>0</v>
      </c>
      <c r="G59" s="303" t="s">
        <v>616</v>
      </c>
      <c r="H59" s="217"/>
    </row>
    <row r="60" spans="1:40" ht="29.5" thickBot="1" x14ac:dyDescent="0.4">
      <c r="A60" s="332"/>
      <c r="B60" s="305"/>
      <c r="C60" s="306"/>
      <c r="D60" s="317">
        <v>15</v>
      </c>
      <c r="E60" s="306" t="s">
        <v>617</v>
      </c>
      <c r="F60" s="333">
        <f>D60</f>
        <v>15</v>
      </c>
      <c r="G60" s="290" t="s">
        <v>617</v>
      </c>
      <c r="H60" s="9"/>
    </row>
    <row r="61" spans="1:40" ht="15" thickBot="1" x14ac:dyDescent="0.4">
      <c r="A61" s="327"/>
      <c r="B61" s="319"/>
      <c r="C61" s="293"/>
      <c r="D61" s="293"/>
      <c r="E61" s="293"/>
      <c r="F61" s="293"/>
      <c r="G61" s="297"/>
      <c r="H61" s="9"/>
    </row>
    <row r="62" spans="1:40" x14ac:dyDescent="0.35">
      <c r="A62" s="314" t="s">
        <v>783</v>
      </c>
      <c r="B62" s="278" t="s">
        <v>28</v>
      </c>
      <c r="C62" s="278" t="s">
        <v>150</v>
      </c>
      <c r="D62" s="278" t="s">
        <v>65</v>
      </c>
      <c r="E62" s="278" t="s">
        <v>150</v>
      </c>
      <c r="F62" s="279" t="s">
        <v>30</v>
      </c>
      <c r="G62" s="280" t="s">
        <v>150</v>
      </c>
      <c r="H62" s="8"/>
    </row>
    <row r="63" spans="1:40" x14ac:dyDescent="0.35">
      <c r="A63" s="328"/>
      <c r="B63" s="73"/>
      <c r="C63" s="73"/>
      <c r="D63" s="73"/>
      <c r="E63" s="73"/>
      <c r="F63" s="74"/>
      <c r="G63" s="334"/>
      <c r="H63" s="8"/>
    </row>
    <row r="64" spans="1:40" x14ac:dyDescent="0.35">
      <c r="A64" s="281" t="s">
        <v>383</v>
      </c>
      <c r="B64" s="221">
        <v>104</v>
      </c>
      <c r="C64" s="11" t="s">
        <v>152</v>
      </c>
      <c r="D64" s="60"/>
      <c r="E64" s="11"/>
      <c r="F64" s="11"/>
      <c r="G64" s="283"/>
      <c r="H64" s="9"/>
    </row>
    <row r="65" spans="1:8" x14ac:dyDescent="0.35">
      <c r="A65" s="281" t="s">
        <v>573</v>
      </c>
      <c r="B65" s="5"/>
      <c r="C65" s="11"/>
      <c r="D65" s="220">
        <v>80</v>
      </c>
      <c r="E65" s="11" t="s">
        <v>151</v>
      </c>
      <c r="F65" s="112">
        <f>D65</f>
        <v>80</v>
      </c>
      <c r="G65" s="303" t="s">
        <v>151</v>
      </c>
      <c r="H65" s="9"/>
    </row>
    <row r="66" spans="1:8" ht="15" thickBot="1" x14ac:dyDescent="0.4">
      <c r="A66" s="304" t="s">
        <v>384</v>
      </c>
      <c r="B66" s="335"/>
      <c r="C66" s="306"/>
      <c r="D66" s="336"/>
      <c r="E66" s="306"/>
      <c r="F66" s="325">
        <f>D65*B64</f>
        <v>8320</v>
      </c>
      <c r="G66" s="290" t="s">
        <v>149</v>
      </c>
      <c r="H66" s="9"/>
    </row>
    <row r="67" spans="1:8" ht="15" thickBot="1" x14ac:dyDescent="0.4">
      <c r="A67" s="308"/>
      <c r="B67" s="319"/>
      <c r="C67" s="293"/>
      <c r="D67" s="293"/>
      <c r="E67" s="293"/>
      <c r="F67" s="293"/>
      <c r="G67" s="297"/>
      <c r="H67" s="103"/>
    </row>
    <row r="68" spans="1:8" x14ac:dyDescent="0.35">
      <c r="A68" s="277" t="s">
        <v>31</v>
      </c>
      <c r="B68" s="278" t="s">
        <v>28</v>
      </c>
      <c r="C68" s="278" t="s">
        <v>150</v>
      </c>
      <c r="D68" s="278" t="s">
        <v>65</v>
      </c>
      <c r="E68" s="337" t="s">
        <v>150</v>
      </c>
      <c r="F68" s="338" t="s">
        <v>30</v>
      </c>
      <c r="G68" s="280" t="s">
        <v>150</v>
      </c>
      <c r="H68" s="8"/>
    </row>
    <row r="69" spans="1:8" x14ac:dyDescent="0.35">
      <c r="A69" s="339"/>
      <c r="B69" s="73"/>
      <c r="C69" s="73"/>
      <c r="D69" s="73"/>
      <c r="E69" s="81"/>
      <c r="F69" s="110"/>
      <c r="G69" s="334"/>
    </row>
    <row r="70" spans="1:8" x14ac:dyDescent="0.35">
      <c r="A70" s="366" t="s">
        <v>392</v>
      </c>
      <c r="B70" s="240">
        <v>500</v>
      </c>
      <c r="C70" s="102" t="s">
        <v>379</v>
      </c>
      <c r="D70" s="239">
        <v>1</v>
      </c>
      <c r="E70" s="76" t="s">
        <v>117</v>
      </c>
      <c r="F70" s="117">
        <f>D70*B70</f>
        <v>500</v>
      </c>
      <c r="G70" s="303" t="s">
        <v>377</v>
      </c>
    </row>
    <row r="71" spans="1:8" x14ac:dyDescent="0.35">
      <c r="A71" s="301" t="s">
        <v>389</v>
      </c>
      <c r="B71" s="78"/>
      <c r="C71" s="11"/>
      <c r="D71" s="220">
        <v>5000</v>
      </c>
      <c r="E71" s="80" t="s">
        <v>380</v>
      </c>
      <c r="F71" s="112">
        <f>D71*D70</f>
        <v>5000</v>
      </c>
      <c r="G71" s="303" t="s">
        <v>378</v>
      </c>
    </row>
    <row r="72" spans="1:8" x14ac:dyDescent="0.35">
      <c r="A72" s="301" t="s">
        <v>612</v>
      </c>
      <c r="B72" s="78"/>
      <c r="C72" s="11"/>
      <c r="D72" s="220">
        <v>6000</v>
      </c>
      <c r="E72" s="80" t="s">
        <v>46</v>
      </c>
      <c r="F72" s="112">
        <f>D72</f>
        <v>6000</v>
      </c>
      <c r="G72" s="303" t="s">
        <v>46</v>
      </c>
    </row>
    <row r="73" spans="1:8" ht="29" x14ac:dyDescent="0.35">
      <c r="A73" s="340" t="s">
        <v>390</v>
      </c>
      <c r="B73" s="234">
        <v>0.47</v>
      </c>
      <c r="C73" s="38" t="s">
        <v>44</v>
      </c>
      <c r="D73" s="230">
        <v>2000</v>
      </c>
      <c r="E73" s="108" t="s">
        <v>45</v>
      </c>
      <c r="F73" s="30">
        <f>D73*B73</f>
        <v>940</v>
      </c>
      <c r="G73" s="303" t="s">
        <v>631</v>
      </c>
      <c r="H73" s="8"/>
    </row>
    <row r="74" spans="1:8" x14ac:dyDescent="0.35">
      <c r="A74" s="341" t="s">
        <v>42</v>
      </c>
      <c r="B74" s="234">
        <v>300</v>
      </c>
      <c r="C74" s="38" t="s">
        <v>10</v>
      </c>
      <c r="D74" s="230">
        <v>1</v>
      </c>
      <c r="E74" s="79" t="s">
        <v>117</v>
      </c>
      <c r="F74" s="30">
        <f>D74*B74</f>
        <v>300</v>
      </c>
      <c r="G74" s="342" t="s">
        <v>376</v>
      </c>
    </row>
    <row r="75" spans="1:8" x14ac:dyDescent="0.35">
      <c r="A75" s="341" t="s">
        <v>43</v>
      </c>
      <c r="B75" s="234">
        <v>100</v>
      </c>
      <c r="C75" s="38" t="s">
        <v>10</v>
      </c>
      <c r="D75" s="230">
        <v>1</v>
      </c>
      <c r="E75" s="79" t="s">
        <v>117</v>
      </c>
      <c r="F75" s="30">
        <f>D75*B75</f>
        <v>100</v>
      </c>
      <c r="G75" s="342" t="s">
        <v>376</v>
      </c>
    </row>
    <row r="76" spans="1:8" ht="15" thickBot="1" x14ac:dyDescent="0.4">
      <c r="A76" s="284" t="s">
        <v>47</v>
      </c>
      <c r="B76" s="343">
        <v>130</v>
      </c>
      <c r="C76" s="344" t="s">
        <v>10</v>
      </c>
      <c r="D76" s="287">
        <v>1</v>
      </c>
      <c r="E76" s="345" t="s">
        <v>117</v>
      </c>
      <c r="F76" s="289">
        <f>D76*B76</f>
        <v>130</v>
      </c>
      <c r="G76" s="346" t="s">
        <v>376</v>
      </c>
    </row>
    <row r="77" spans="1:8" x14ac:dyDescent="0.35">
      <c r="A77" s="308"/>
      <c r="B77" s="312"/>
      <c r="C77" s="255"/>
      <c r="D77" s="104"/>
      <c r="E77" s="252"/>
      <c r="F77" s="252"/>
      <c r="G77" s="251"/>
    </row>
    <row r="78" spans="1:8" x14ac:dyDescent="0.35">
      <c r="A78" s="246" t="s">
        <v>387</v>
      </c>
      <c r="B78" s="247"/>
      <c r="C78" s="248"/>
      <c r="D78" s="249"/>
      <c r="E78" s="249"/>
      <c r="F78" s="41"/>
      <c r="G78" s="253"/>
    </row>
    <row r="79" spans="1:8" x14ac:dyDescent="0.35">
      <c r="A79" s="2"/>
      <c r="B79" s="1"/>
      <c r="C79" s="65"/>
      <c r="D79" s="249"/>
      <c r="E79" s="249"/>
      <c r="F79" s="250"/>
      <c r="G79" s="253"/>
    </row>
    <row r="80" spans="1:8" x14ac:dyDescent="0.35">
      <c r="A80" s="2" t="s">
        <v>67</v>
      </c>
      <c r="B80" s="109">
        <v>600</v>
      </c>
      <c r="C80" s="65" t="s">
        <v>388</v>
      </c>
      <c r="D80" s="249"/>
      <c r="E80" s="249"/>
      <c r="F80" s="250"/>
      <c r="G80" s="253"/>
    </row>
    <row r="81" spans="1:7" x14ac:dyDescent="0.35">
      <c r="A81" s="2" t="s">
        <v>69</v>
      </c>
      <c r="B81" s="109">
        <v>300</v>
      </c>
      <c r="C81" s="65" t="s">
        <v>388</v>
      </c>
      <c r="D81" s="249"/>
      <c r="E81" s="249"/>
      <c r="F81" s="250"/>
      <c r="G81" s="253"/>
    </row>
    <row r="82" spans="1:7" x14ac:dyDescent="0.35">
      <c r="A82" s="2" t="s">
        <v>68</v>
      </c>
      <c r="B82" s="109">
        <v>100</v>
      </c>
      <c r="C82" s="65" t="s">
        <v>388</v>
      </c>
      <c r="D82" s="249"/>
      <c r="E82" s="249"/>
      <c r="F82" s="250"/>
      <c r="G82" s="253"/>
    </row>
    <row r="83" spans="1:7" x14ac:dyDescent="0.35">
      <c r="A83" s="2" t="s">
        <v>70</v>
      </c>
      <c r="B83" s="109">
        <v>80</v>
      </c>
      <c r="C83" s="65" t="s">
        <v>388</v>
      </c>
      <c r="D83" s="249"/>
      <c r="E83" s="249"/>
      <c r="F83" s="250"/>
      <c r="G83" s="253"/>
    </row>
    <row r="84" spans="1:7" x14ac:dyDescent="0.35">
      <c r="A84" s="2"/>
      <c r="B84" s="1"/>
      <c r="C84" s="65"/>
      <c r="D84" s="249"/>
      <c r="E84" s="249"/>
      <c r="F84" s="250"/>
      <c r="G84" s="253"/>
    </row>
    <row r="85" spans="1:7" x14ac:dyDescent="0.35">
      <c r="A85" s="57" t="s">
        <v>96</v>
      </c>
    </row>
    <row r="86" spans="1:7" x14ac:dyDescent="0.35">
      <c r="A86" s="63" t="s">
        <v>97</v>
      </c>
    </row>
    <row r="87" spans="1:7" x14ac:dyDescent="0.35">
      <c r="A87" s="63" t="s">
        <v>98</v>
      </c>
    </row>
    <row r="88" spans="1:7" x14ac:dyDescent="0.35">
      <c r="A88" s="63" t="s">
        <v>113</v>
      </c>
      <c r="G88"/>
    </row>
    <row r="89" spans="1:7" x14ac:dyDescent="0.35">
      <c r="A89" s="63" t="s">
        <v>1244</v>
      </c>
      <c r="G89"/>
    </row>
    <row r="90" spans="1:7" x14ac:dyDescent="0.35">
      <c r="A90" s="63" t="s">
        <v>1245</v>
      </c>
      <c r="G90"/>
    </row>
    <row r="91" spans="1:7" ht="58" x14ac:dyDescent="0.35">
      <c r="A91" s="558" t="s">
        <v>1246</v>
      </c>
      <c r="G91"/>
    </row>
    <row r="92" spans="1:7" ht="29" x14ac:dyDescent="0.35">
      <c r="A92" s="558" t="s">
        <v>1247</v>
      </c>
      <c r="G92"/>
    </row>
    <row r="93" spans="1:7" ht="58" x14ac:dyDescent="0.35">
      <c r="A93" s="558" t="s">
        <v>1248</v>
      </c>
      <c r="G93"/>
    </row>
    <row r="94" spans="1:7" ht="87" x14ac:dyDescent="0.35">
      <c r="A94" s="558" t="s">
        <v>1249</v>
      </c>
      <c r="G94"/>
    </row>
    <row r="95" spans="1:7" ht="43.5" x14ac:dyDescent="0.35">
      <c r="A95" s="558" t="s">
        <v>1250</v>
      </c>
      <c r="G95"/>
    </row>
    <row r="96" spans="1:7" ht="58" x14ac:dyDescent="0.35">
      <c r="A96" s="558" t="s">
        <v>1251</v>
      </c>
      <c r="G96"/>
    </row>
    <row r="97" spans="1:7" x14ac:dyDescent="0.35">
      <c r="A97" s="558"/>
      <c r="G97"/>
    </row>
    <row r="98" spans="1:7" ht="72.5" x14ac:dyDescent="0.35">
      <c r="A98" s="12" t="s">
        <v>881</v>
      </c>
      <c r="G98"/>
    </row>
    <row r="99" spans="1:7" x14ac:dyDescent="0.35">
      <c r="A99"/>
      <c r="G99"/>
    </row>
    <row r="100" spans="1:7" ht="101.5" x14ac:dyDescent="0.35">
      <c r="A100" s="12" t="s">
        <v>882</v>
      </c>
      <c r="G100"/>
    </row>
    <row r="101" spans="1:7" x14ac:dyDescent="0.35">
      <c r="G101"/>
    </row>
    <row r="102" spans="1:7" x14ac:dyDescent="0.35">
      <c r="G102"/>
    </row>
    <row r="103" spans="1:7" x14ac:dyDescent="0.35">
      <c r="G103"/>
    </row>
    <row r="104" spans="1:7" x14ac:dyDescent="0.35">
      <c r="G104"/>
    </row>
    <row r="105" spans="1:7" x14ac:dyDescent="0.35">
      <c r="G105"/>
    </row>
    <row r="106" spans="1:7" x14ac:dyDescent="0.35">
      <c r="G106"/>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00"/>
  <sheetViews>
    <sheetView topLeftCell="A49" workbookViewId="0"/>
  </sheetViews>
  <sheetFormatPr defaultRowHeight="14.5" x14ac:dyDescent="0.35"/>
  <cols>
    <col min="1" max="1" width="44.54296875" style="12" customWidth="1"/>
    <col min="2" max="2" width="12.54296875" bestFit="1" customWidth="1"/>
    <col min="3" max="3" width="19.36328125" bestFit="1" customWidth="1"/>
    <col min="4" max="4" width="11.6328125" customWidth="1"/>
    <col min="5" max="5" width="30.6328125" customWidth="1"/>
    <col min="6" max="6" width="12.54296875" customWidth="1"/>
    <col min="7" max="7" width="20.453125" bestFit="1" customWidth="1"/>
    <col min="8" max="8" width="11.08984375" customWidth="1"/>
    <col min="10" max="10" width="50" customWidth="1"/>
    <col min="11" max="11" width="16.54296875" customWidth="1"/>
    <col min="12" max="12" width="16.90625" customWidth="1"/>
    <col min="13" max="13" width="16" customWidth="1"/>
    <col min="14" max="14" width="13.6328125" customWidth="1"/>
    <col min="15" max="15" width="13.453125" customWidth="1"/>
    <col min="16" max="16" width="11" customWidth="1"/>
    <col min="17" max="17" width="8.08984375" customWidth="1"/>
    <col min="18" max="18" width="51.90625" customWidth="1"/>
    <col min="19" max="19" width="18.453125" customWidth="1"/>
    <col min="20" max="20" width="10.6328125" customWidth="1"/>
    <col min="21" max="21" width="53" customWidth="1"/>
    <col min="22" max="22" width="16.36328125" customWidth="1"/>
    <col min="23" max="23" width="22" customWidth="1"/>
    <col min="24" max="24" width="26.453125" customWidth="1"/>
    <col min="25" max="25" width="15.36328125" bestFit="1" customWidth="1"/>
    <col min="26" max="26" width="17.36328125" customWidth="1"/>
    <col min="27" max="27" width="10.36328125" customWidth="1"/>
    <col min="28" max="28" width="41.36328125" customWidth="1"/>
    <col min="29" max="29" width="19.6328125" bestFit="1" customWidth="1"/>
    <col min="30" max="30" width="20" bestFit="1" customWidth="1"/>
    <col min="31" max="31" width="14.36328125" bestFit="1" customWidth="1"/>
    <col min="32" max="32" width="15.36328125" bestFit="1" customWidth="1"/>
    <col min="33" max="33" width="5.90625" customWidth="1"/>
    <col min="34" max="34" width="38.36328125" bestFit="1" customWidth="1"/>
    <col min="35" max="35" width="15.36328125" bestFit="1" customWidth="1"/>
    <col min="36" max="36" width="16" bestFit="1" customWidth="1"/>
    <col min="37" max="37" width="16" customWidth="1"/>
    <col min="38" max="38" width="15.36328125" bestFit="1" customWidth="1"/>
  </cols>
  <sheetData>
    <row r="1" spans="1:33" ht="21.5" thickBot="1" x14ac:dyDescent="0.55000000000000004">
      <c r="A1" s="118" t="s">
        <v>143</v>
      </c>
    </row>
    <row r="3" spans="1:33" x14ac:dyDescent="0.35">
      <c r="A3" s="107" t="s">
        <v>147</v>
      </c>
    </row>
    <row r="4" spans="1:33" x14ac:dyDescent="0.35">
      <c r="A4" s="120" t="s">
        <v>645</v>
      </c>
      <c r="C4" s="26"/>
      <c r="D4" s="26"/>
      <c r="F4" s="26"/>
      <c r="G4" s="26"/>
    </row>
    <row r="5" spans="1:33" ht="15" thickBot="1" x14ac:dyDescent="0.4">
      <c r="A5" s="119"/>
      <c r="C5" s="26"/>
      <c r="D5" s="26"/>
      <c r="F5" s="26"/>
      <c r="G5" s="26"/>
    </row>
    <row r="6" spans="1:33" x14ac:dyDescent="0.35">
      <c r="A6" s="277" t="s">
        <v>3</v>
      </c>
      <c r="B6" s="278" t="s">
        <v>28</v>
      </c>
      <c r="C6" s="278" t="s">
        <v>150</v>
      </c>
      <c r="D6" s="278" t="s">
        <v>65</v>
      </c>
      <c r="E6" s="278" t="s">
        <v>150</v>
      </c>
      <c r="F6" s="279" t="s">
        <v>30</v>
      </c>
      <c r="G6" s="280" t="s">
        <v>150</v>
      </c>
      <c r="H6" s="8"/>
    </row>
    <row r="7" spans="1:33" x14ac:dyDescent="0.35">
      <c r="A7" s="281"/>
      <c r="B7" s="1"/>
      <c r="C7" s="11"/>
      <c r="D7" s="65"/>
      <c r="E7" s="15"/>
      <c r="F7" s="28"/>
      <c r="G7" s="283"/>
      <c r="H7" s="8"/>
      <c r="I7" s="232"/>
      <c r="J7" t="s">
        <v>34</v>
      </c>
    </row>
    <row r="8" spans="1:33" x14ac:dyDescent="0.35">
      <c r="A8" s="298" t="s">
        <v>94</v>
      </c>
      <c r="B8" s="221">
        <v>11.87</v>
      </c>
      <c r="C8" s="11" t="s">
        <v>155</v>
      </c>
      <c r="D8" s="230">
        <v>12</v>
      </c>
      <c r="E8" s="65" t="s">
        <v>116</v>
      </c>
      <c r="F8" s="28">
        <f t="shared" ref="F8:F13" si="0">D8*B8*$D$14</f>
        <v>1709.28</v>
      </c>
      <c r="G8" s="283" t="s">
        <v>149</v>
      </c>
      <c r="H8" s="8"/>
      <c r="L8" s="58"/>
      <c r="N8" s="59"/>
      <c r="O8" s="6"/>
    </row>
    <row r="9" spans="1:33" x14ac:dyDescent="0.35">
      <c r="A9" s="298" t="s">
        <v>6</v>
      </c>
      <c r="B9" s="221">
        <v>17.510000000000002</v>
      </c>
      <c r="C9" s="11" t="s">
        <v>155</v>
      </c>
      <c r="D9" s="230">
        <v>1</v>
      </c>
      <c r="E9" s="65" t="s">
        <v>116</v>
      </c>
      <c r="F9" s="28">
        <f t="shared" si="0"/>
        <v>210.12</v>
      </c>
      <c r="G9" s="283" t="s">
        <v>149</v>
      </c>
      <c r="H9" s="8"/>
      <c r="I9" s="25"/>
      <c r="J9" t="s">
        <v>714</v>
      </c>
      <c r="L9" s="58"/>
      <c r="N9" s="59"/>
      <c r="O9" s="6"/>
    </row>
    <row r="10" spans="1:33" x14ac:dyDescent="0.35">
      <c r="A10" s="299" t="s">
        <v>93</v>
      </c>
      <c r="B10" s="221">
        <v>21.62</v>
      </c>
      <c r="C10" s="11" t="s">
        <v>155</v>
      </c>
      <c r="D10" s="230">
        <v>1</v>
      </c>
      <c r="E10" s="65" t="s">
        <v>116</v>
      </c>
      <c r="F10" s="28">
        <f t="shared" si="0"/>
        <v>259.44</v>
      </c>
      <c r="G10" s="283" t="s">
        <v>149</v>
      </c>
      <c r="H10" s="8"/>
      <c r="L10" s="58"/>
      <c r="N10" s="59"/>
      <c r="O10" s="6"/>
    </row>
    <row r="11" spans="1:33" x14ac:dyDescent="0.35">
      <c r="A11" s="299" t="s">
        <v>154</v>
      </c>
      <c r="B11" s="221">
        <v>19.829999999999998</v>
      </c>
      <c r="C11" s="11" t="s">
        <v>155</v>
      </c>
      <c r="D11" s="230">
        <v>0</v>
      </c>
      <c r="E11" s="65" t="s">
        <v>116</v>
      </c>
      <c r="F11" s="28">
        <f t="shared" si="0"/>
        <v>0</v>
      </c>
      <c r="G11" s="283" t="s">
        <v>149</v>
      </c>
      <c r="H11" s="8"/>
      <c r="I11" s="195"/>
      <c r="J11" t="s">
        <v>66</v>
      </c>
      <c r="L11" s="58"/>
      <c r="N11" s="59"/>
      <c r="O11" s="6"/>
    </row>
    <row r="12" spans="1:33" ht="15" thickBot="1" x14ac:dyDescent="0.4">
      <c r="A12" s="299" t="s">
        <v>153</v>
      </c>
      <c r="B12" s="221">
        <v>19.88</v>
      </c>
      <c r="C12" s="11" t="s">
        <v>155</v>
      </c>
      <c r="D12" s="230">
        <v>5</v>
      </c>
      <c r="E12" s="65" t="s">
        <v>116</v>
      </c>
      <c r="F12" s="28">
        <f t="shared" si="0"/>
        <v>1192.8</v>
      </c>
      <c r="G12" s="283" t="s">
        <v>149</v>
      </c>
      <c r="H12" s="8"/>
      <c r="L12" s="58"/>
      <c r="N12" s="59"/>
      <c r="O12" s="6"/>
    </row>
    <row r="13" spans="1:33" x14ac:dyDescent="0.35">
      <c r="A13" s="299" t="s">
        <v>95</v>
      </c>
      <c r="B13" s="221">
        <v>19.760000000000002</v>
      </c>
      <c r="C13" s="11" t="s">
        <v>155</v>
      </c>
      <c r="D13" s="230">
        <v>3</v>
      </c>
      <c r="E13" s="65" t="s">
        <v>116</v>
      </c>
      <c r="F13" s="28">
        <f t="shared" si="0"/>
        <v>711.36</v>
      </c>
      <c r="G13" s="283" t="s">
        <v>149</v>
      </c>
      <c r="H13" s="8"/>
      <c r="I13" s="137"/>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2"/>
    </row>
    <row r="14" spans="1:33" x14ac:dyDescent="0.35">
      <c r="A14" s="301" t="s">
        <v>132</v>
      </c>
      <c r="B14" s="5"/>
      <c r="C14" s="11"/>
      <c r="D14" s="230">
        <v>12</v>
      </c>
      <c r="E14" s="65" t="s">
        <v>118</v>
      </c>
      <c r="F14" s="113">
        <f>D14</f>
        <v>12</v>
      </c>
      <c r="G14" s="302" t="s">
        <v>118</v>
      </c>
      <c r="H14" s="8"/>
      <c r="I14" s="124" t="s">
        <v>662</v>
      </c>
      <c r="J14" s="8"/>
      <c r="K14" s="8"/>
      <c r="L14" s="8"/>
      <c r="M14" s="8"/>
      <c r="N14" s="8"/>
      <c r="O14" s="8"/>
      <c r="P14" s="8"/>
      <c r="Q14" s="8"/>
      <c r="R14" s="8"/>
      <c r="S14" s="8"/>
      <c r="T14" s="8"/>
      <c r="U14" s="8"/>
      <c r="V14" s="8"/>
      <c r="W14" s="8"/>
      <c r="X14" s="8"/>
      <c r="Y14" s="8"/>
      <c r="Z14" s="8"/>
      <c r="AA14" s="8"/>
      <c r="AB14" s="8"/>
      <c r="AC14" s="8"/>
      <c r="AD14" s="8"/>
      <c r="AE14" s="8"/>
      <c r="AF14" s="8"/>
      <c r="AG14" s="126"/>
    </row>
    <row r="15" spans="1:33" x14ac:dyDescent="0.35">
      <c r="A15" s="301" t="s">
        <v>162</v>
      </c>
      <c r="B15" s="221">
        <v>123</v>
      </c>
      <c r="C15" s="11" t="s">
        <v>157</v>
      </c>
      <c r="D15" s="230">
        <f>SUM(D8:D13)</f>
        <v>22</v>
      </c>
      <c r="E15" s="65" t="s">
        <v>116</v>
      </c>
      <c r="F15" s="30">
        <f>D15*B15</f>
        <v>2706</v>
      </c>
      <c r="G15" s="303" t="s">
        <v>149</v>
      </c>
      <c r="H15" s="8"/>
      <c r="I15" s="124"/>
      <c r="J15" s="8"/>
      <c r="K15" s="8"/>
      <c r="L15" s="8"/>
      <c r="M15" s="8"/>
      <c r="N15" s="8"/>
      <c r="O15" s="8"/>
      <c r="P15" s="8"/>
      <c r="Q15" s="8"/>
      <c r="R15" s="8"/>
      <c r="S15" s="8"/>
      <c r="T15" s="8"/>
      <c r="U15" s="8"/>
      <c r="V15" s="8"/>
      <c r="W15" s="8"/>
      <c r="X15" s="8"/>
      <c r="Y15" s="8"/>
      <c r="Z15" s="8"/>
      <c r="AA15" s="8"/>
      <c r="AB15" s="8"/>
      <c r="AC15" s="8"/>
      <c r="AD15" s="8"/>
      <c r="AE15" s="8"/>
      <c r="AF15" s="8"/>
      <c r="AG15" s="126"/>
    </row>
    <row r="16" spans="1:33" x14ac:dyDescent="0.35">
      <c r="A16" s="281"/>
      <c r="B16" s="5"/>
      <c r="C16" s="11"/>
      <c r="D16" s="61"/>
      <c r="E16" s="15"/>
      <c r="F16" s="28"/>
      <c r="G16" s="283"/>
      <c r="H16" s="8"/>
      <c r="I16" s="233">
        <v>40</v>
      </c>
      <c r="J16" s="256" t="s">
        <v>659</v>
      </c>
      <c r="K16" s="8"/>
      <c r="L16" s="8"/>
      <c r="M16" s="8"/>
      <c r="N16" s="8"/>
      <c r="O16" s="8"/>
      <c r="P16" s="8"/>
      <c r="Q16" s="8"/>
      <c r="R16" s="8"/>
      <c r="S16" s="8"/>
      <c r="T16" s="8"/>
      <c r="U16" s="8"/>
      <c r="V16" s="8"/>
      <c r="W16" s="8"/>
      <c r="X16" s="8"/>
      <c r="Y16" s="8"/>
      <c r="Z16" s="8"/>
      <c r="AA16" s="8"/>
      <c r="AB16" s="8"/>
      <c r="AC16" s="8"/>
      <c r="AD16" s="8"/>
      <c r="AE16" s="8"/>
      <c r="AF16" s="8"/>
      <c r="AG16" s="126"/>
    </row>
    <row r="17" spans="1:33" ht="15" thickBot="1" x14ac:dyDescent="0.4">
      <c r="A17" s="304" t="s">
        <v>8</v>
      </c>
      <c r="B17" s="305"/>
      <c r="C17" s="306"/>
      <c r="D17" s="286"/>
      <c r="E17" s="307"/>
      <c r="F17" s="289">
        <f>SUM(F8:F15)</f>
        <v>6801</v>
      </c>
      <c r="G17" s="290" t="s">
        <v>149</v>
      </c>
      <c r="H17" s="8"/>
      <c r="I17" s="233">
        <v>150</v>
      </c>
      <c r="J17" s="256" t="s">
        <v>558</v>
      </c>
      <c r="K17" s="8"/>
      <c r="L17" s="8"/>
      <c r="M17" s="8"/>
      <c r="N17" s="8"/>
      <c r="O17" s="8"/>
      <c r="P17" s="8"/>
      <c r="Q17" s="8"/>
      <c r="R17" s="8"/>
      <c r="S17" s="8"/>
      <c r="T17" s="8"/>
      <c r="U17" s="8"/>
      <c r="V17" s="8"/>
      <c r="W17" s="8"/>
      <c r="X17" s="8"/>
      <c r="Y17" s="8"/>
      <c r="Z17" s="8"/>
      <c r="AA17" s="8"/>
      <c r="AB17" s="8"/>
      <c r="AC17" s="8"/>
      <c r="AD17" s="8"/>
      <c r="AE17" s="8"/>
      <c r="AF17" s="8"/>
      <c r="AG17" s="126"/>
    </row>
    <row r="18" spans="1:33" ht="15" thickBot="1" x14ac:dyDescent="0.4">
      <c r="A18" s="291"/>
      <c r="B18" s="292"/>
      <c r="C18" s="293"/>
      <c r="D18" s="294"/>
      <c r="E18" s="295"/>
      <c r="F18" s="296"/>
      <c r="G18" s="297"/>
      <c r="H18" s="8"/>
      <c r="I18" s="233">
        <v>300</v>
      </c>
      <c r="J18" s="256" t="s">
        <v>1255</v>
      </c>
      <c r="K18" s="8"/>
      <c r="L18" s="8"/>
      <c r="M18" s="8"/>
      <c r="N18" s="8"/>
      <c r="O18" s="8"/>
      <c r="P18" s="8"/>
      <c r="Q18" s="8"/>
      <c r="R18" s="8"/>
      <c r="S18" s="8"/>
      <c r="T18" s="8"/>
      <c r="U18" s="8"/>
      <c r="V18" s="8"/>
      <c r="W18" s="8"/>
      <c r="X18" s="8"/>
      <c r="Y18" s="8"/>
      <c r="Z18" s="8"/>
      <c r="AA18" s="8"/>
      <c r="AB18" s="8"/>
      <c r="AC18" s="8"/>
      <c r="AD18" s="8"/>
      <c r="AE18" s="8"/>
      <c r="AF18" s="8"/>
      <c r="AG18" s="126"/>
    </row>
    <row r="19" spans="1:33" ht="15.5" x14ac:dyDescent="0.35">
      <c r="A19" s="277" t="s">
        <v>601</v>
      </c>
      <c r="B19" s="278" t="s">
        <v>28</v>
      </c>
      <c r="C19" s="278" t="s">
        <v>150</v>
      </c>
      <c r="D19" s="278" t="s">
        <v>65</v>
      </c>
      <c r="E19" s="278" t="s">
        <v>150</v>
      </c>
      <c r="F19" s="279" t="s">
        <v>30</v>
      </c>
      <c r="G19" s="280" t="s">
        <v>150</v>
      </c>
      <c r="H19" s="215"/>
      <c r="I19" s="245"/>
      <c r="J19" s="175"/>
      <c r="K19" s="8"/>
      <c r="L19" s="8"/>
      <c r="M19" s="8"/>
      <c r="N19" s="8"/>
      <c r="O19" s="8"/>
      <c r="P19" s="8"/>
      <c r="Q19" s="8"/>
      <c r="R19" s="8"/>
      <c r="S19" s="8"/>
      <c r="T19" s="8"/>
      <c r="U19" s="8"/>
      <c r="V19" s="8"/>
      <c r="W19" s="8"/>
      <c r="X19" s="8"/>
      <c r="Y19" s="8"/>
      <c r="Z19" s="8"/>
      <c r="AA19" s="8"/>
      <c r="AB19" s="8"/>
      <c r="AC19" s="8"/>
      <c r="AD19" s="8"/>
      <c r="AE19" s="8"/>
      <c r="AF19" s="8"/>
      <c r="AG19" s="126"/>
    </row>
    <row r="20" spans="1:33" x14ac:dyDescent="0.35">
      <c r="A20" s="281"/>
      <c r="B20" s="282"/>
      <c r="C20" s="60"/>
      <c r="D20" s="61"/>
      <c r="E20" s="72"/>
      <c r="F20" s="75"/>
      <c r="G20" s="283"/>
      <c r="H20" s="8"/>
      <c r="I20" s="124"/>
      <c r="J20" s="8"/>
      <c r="K20" s="8"/>
      <c r="L20" s="8"/>
      <c r="M20" s="8"/>
      <c r="N20" s="8"/>
      <c r="O20" s="8"/>
      <c r="P20" s="8"/>
      <c r="Q20" s="8"/>
      <c r="R20" s="8"/>
      <c r="S20" s="8"/>
      <c r="T20" s="8"/>
      <c r="U20" s="8"/>
      <c r="V20" s="8"/>
      <c r="W20" s="8"/>
      <c r="X20" s="8"/>
      <c r="Y20" s="8"/>
      <c r="Z20" s="8"/>
      <c r="AA20" s="8"/>
      <c r="AB20" s="8"/>
      <c r="AC20" s="8"/>
      <c r="AD20" s="8"/>
      <c r="AE20" s="8"/>
      <c r="AF20" s="8"/>
      <c r="AG20" s="126"/>
    </row>
    <row r="21" spans="1:33" x14ac:dyDescent="0.35">
      <c r="A21" s="542" t="s">
        <v>11</v>
      </c>
      <c r="B21" s="535">
        <v>10.25</v>
      </c>
      <c r="C21" s="273" t="s">
        <v>120</v>
      </c>
      <c r="D21" s="543">
        <f>SUM(D8:D13)</f>
        <v>22</v>
      </c>
      <c r="E21" s="544" t="s">
        <v>156</v>
      </c>
      <c r="F21" s="537">
        <f>D21*B21</f>
        <v>225.5</v>
      </c>
      <c r="G21" s="538" t="s">
        <v>149</v>
      </c>
      <c r="H21" s="8"/>
      <c r="I21" s="124" t="s">
        <v>661</v>
      </c>
      <c r="J21" s="8"/>
      <c r="K21" s="8"/>
      <c r="L21" s="8"/>
      <c r="M21" s="8"/>
      <c r="N21" s="8"/>
      <c r="O21" s="8"/>
      <c r="P21" s="8"/>
      <c r="Q21" s="8"/>
      <c r="R21" s="8"/>
      <c r="S21" s="8"/>
      <c r="T21" s="8"/>
      <c r="U21" s="8"/>
      <c r="V21" s="8"/>
      <c r="W21" s="8"/>
      <c r="X21" s="8"/>
      <c r="Y21" s="8"/>
      <c r="Z21" s="8"/>
      <c r="AA21" s="8"/>
      <c r="AB21" s="8"/>
      <c r="AC21" s="8"/>
      <c r="AD21" s="8"/>
      <c r="AE21" s="8"/>
      <c r="AF21" s="8"/>
      <c r="AG21" s="126"/>
    </row>
    <row r="22" spans="1:33" ht="15" thickBot="1" x14ac:dyDescent="0.4">
      <c r="A22" s="284" t="s">
        <v>1207</v>
      </c>
      <c r="B22" s="285"/>
      <c r="C22" s="286"/>
      <c r="D22" s="287"/>
      <c r="E22" s="288"/>
      <c r="F22" s="318">
        <f>B22*D22</f>
        <v>0</v>
      </c>
      <c r="G22" s="290"/>
      <c r="I22" s="124" t="s">
        <v>415</v>
      </c>
      <c r="J22" s="8"/>
      <c r="K22" s="8"/>
      <c r="L22" s="8"/>
      <c r="M22" s="8"/>
      <c r="N22" s="8"/>
      <c r="O22" s="8"/>
      <c r="P22" s="8"/>
      <c r="Q22" s="8"/>
      <c r="R22" s="8"/>
      <c r="S22" s="8"/>
      <c r="T22" s="8"/>
      <c r="U22" s="8"/>
      <c r="V22" s="8"/>
      <c r="W22" s="8"/>
      <c r="X22" s="8"/>
      <c r="Y22" s="8"/>
      <c r="Z22" s="8"/>
      <c r="AA22" s="8"/>
      <c r="AB22" s="8"/>
      <c r="AC22" s="8"/>
      <c r="AD22" s="8"/>
      <c r="AE22" s="8"/>
      <c r="AF22" s="8"/>
      <c r="AG22" s="126"/>
    </row>
    <row r="23" spans="1:33" ht="15" thickBot="1" x14ac:dyDescent="0.4">
      <c r="A23" s="308"/>
      <c r="B23" s="309"/>
      <c r="C23" s="310"/>
      <c r="D23" s="311"/>
      <c r="E23" s="294"/>
      <c r="F23" s="296"/>
      <c r="G23" s="297"/>
      <c r="H23" s="8"/>
      <c r="I23" s="124"/>
      <c r="J23" s="8"/>
      <c r="K23" s="8"/>
      <c r="L23" s="8"/>
      <c r="M23" s="8"/>
      <c r="N23" s="8"/>
      <c r="O23" s="8"/>
      <c r="P23" s="8"/>
      <c r="Q23" s="8"/>
      <c r="R23" s="8"/>
      <c r="S23" s="8"/>
      <c r="T23" s="8"/>
      <c r="U23" s="8"/>
      <c r="V23" s="8"/>
      <c r="W23" s="8"/>
      <c r="X23" s="8"/>
      <c r="Y23" s="8"/>
      <c r="Z23" s="8"/>
      <c r="AA23" s="8"/>
      <c r="AB23" s="8"/>
      <c r="AC23" s="8"/>
      <c r="AD23" s="8"/>
      <c r="AE23" s="8"/>
      <c r="AF23" s="8"/>
      <c r="AG23" s="126"/>
    </row>
    <row r="24" spans="1:33" ht="15" thickBot="1" x14ac:dyDescent="0.4">
      <c r="A24" s="314" t="s">
        <v>20</v>
      </c>
      <c r="B24" s="278" t="s">
        <v>28</v>
      </c>
      <c r="C24" s="278" t="s">
        <v>150</v>
      </c>
      <c r="D24" s="278" t="s">
        <v>65</v>
      </c>
      <c r="E24" s="278" t="s">
        <v>150</v>
      </c>
      <c r="F24" s="279" t="s">
        <v>30</v>
      </c>
      <c r="G24" s="280" t="s">
        <v>150</v>
      </c>
      <c r="H24" s="8"/>
      <c r="I24" s="124"/>
      <c r="J24" s="8"/>
      <c r="K24" s="211" t="s">
        <v>559</v>
      </c>
      <c r="L24" s="211" t="s">
        <v>130</v>
      </c>
      <c r="M24" s="211" t="s">
        <v>660</v>
      </c>
      <c r="N24" s="211" t="s">
        <v>468</v>
      </c>
      <c r="O24" s="44" t="s">
        <v>30</v>
      </c>
      <c r="P24" s="8"/>
      <c r="Q24" s="8"/>
      <c r="R24" s="8"/>
      <c r="S24" s="214"/>
      <c r="T24" s="8"/>
      <c r="U24" s="8"/>
      <c r="V24" s="44" t="s">
        <v>475</v>
      </c>
      <c r="W24" s="44" t="s">
        <v>600</v>
      </c>
      <c r="X24" s="44" t="s">
        <v>474</v>
      </c>
      <c r="Y24" s="44" t="s">
        <v>468</v>
      </c>
      <c r="Z24" s="44" t="s">
        <v>30</v>
      </c>
      <c r="AA24" s="8"/>
      <c r="AB24" s="44" t="s">
        <v>472</v>
      </c>
      <c r="AC24" s="44" t="s">
        <v>473</v>
      </c>
      <c r="AD24" s="44" t="s">
        <v>480</v>
      </c>
      <c r="AE24" s="44" t="s">
        <v>884</v>
      </c>
      <c r="AF24" s="44" t="s">
        <v>75</v>
      </c>
      <c r="AG24" s="126"/>
    </row>
    <row r="25" spans="1:33" x14ac:dyDescent="0.35">
      <c r="A25" s="315"/>
      <c r="B25" s="4"/>
      <c r="C25" s="11"/>
      <c r="D25" s="31"/>
      <c r="E25" s="11"/>
      <c r="F25" s="11"/>
      <c r="G25" s="283"/>
      <c r="H25" s="8"/>
      <c r="I25" s="124"/>
      <c r="J25" s="176" t="s">
        <v>663</v>
      </c>
      <c r="K25" s="196">
        <f>(GIS_inputs!C50/($I$17*$I$16))</f>
        <v>65</v>
      </c>
      <c r="L25" s="196">
        <f>(((GIS_inputs!C50*$B$79)/2000)/(IF(Rendering!$F$50&gt;0,Rendering!$F$50,(IF(Rendering!$F$53&gt;0,Rendering!$F$53,IF(Rendering!$F$56&gt;0,Rendering!$F$56,Rendering!$F$59))))*(IF(Rendering!$F$50&gt;0,Rendering!$F$51,(IF(Rendering!$F$53&gt;0,Rendering!$F$54,IF(Rendering!$F$56&gt;0,Rendering!$F$57,Rendering!$F$60)))))))</f>
        <v>1560</v>
      </c>
      <c r="M25" s="196">
        <f>(((GIS_inputs!C50)*B79/2000)/$F$64)</f>
        <v>1462.5</v>
      </c>
      <c r="N25" s="267">
        <f>(($F$71/$F$70)*(M25/$M$40))+(((GIS_inputs!C50*Depopulation!B76)/2000)/(($F$49*$F$50)+($F$52*$F$53)+($F$55*$F$56)+($F$58*$F$59)))</f>
        <v>3120.5142857142855</v>
      </c>
      <c r="O25" s="444">
        <f>SUM(K25:N25)</f>
        <v>6208.0142857142855</v>
      </c>
      <c r="P25" s="123" t="s">
        <v>432</v>
      </c>
      <c r="Q25" s="8"/>
      <c r="R25" s="269" t="s">
        <v>675</v>
      </c>
      <c r="S25" s="199">
        <f>$F$15*$I$16*K25</f>
        <v>7035600</v>
      </c>
      <c r="T25" s="8"/>
      <c r="U25" s="2" t="s">
        <v>687</v>
      </c>
      <c r="V25" s="202">
        <f>($I$16*$F$21*K25)</f>
        <v>586300</v>
      </c>
      <c r="W25" s="203">
        <f>(($B$79*GIS_inputs!C50)/2000)*($F$43+$F$44)+($F$35*K25)</f>
        <v>257817.85714285716</v>
      </c>
      <c r="X25" s="204">
        <f>(($F$30+$F$26+$F$28)+($H$17*($F$38)))*(K25/$K$40)+($F$39)*K25</f>
        <v>150507.14285714284</v>
      </c>
      <c r="Y25" s="204">
        <f>(($F$69*$F$71)+$F$73+$F$74+$F$75+($F$72*K25))*(GIS_inputs!C50/GIS_inputs!$C$54)</f>
        <v>3061630</v>
      </c>
      <c r="Z25" s="205">
        <f>SUM(V25:Y25)</f>
        <v>4056255</v>
      </c>
      <c r="AA25" s="8"/>
      <c r="AB25" s="2" t="s">
        <v>699</v>
      </c>
      <c r="AC25" s="205">
        <f>S25</f>
        <v>7035600</v>
      </c>
      <c r="AD25" s="205">
        <f>Z25</f>
        <v>4056255</v>
      </c>
      <c r="AE25" s="205">
        <f>((GIS_inputs!C50*Depopulation!B76)/2000)*($B$63)</f>
        <v>24336000</v>
      </c>
      <c r="AF25" s="205">
        <f>AC25+AD25+AE25</f>
        <v>35427855</v>
      </c>
      <c r="AG25" s="126"/>
    </row>
    <row r="26" spans="1:33" x14ac:dyDescent="0.35">
      <c r="A26" s="316" t="s">
        <v>158</v>
      </c>
      <c r="B26" s="221">
        <v>4000</v>
      </c>
      <c r="C26" s="11" t="s">
        <v>120</v>
      </c>
      <c r="D26" s="220">
        <v>0</v>
      </c>
      <c r="E26" s="11" t="s">
        <v>117</v>
      </c>
      <c r="F26" s="114">
        <f>D26*B26</f>
        <v>0</v>
      </c>
      <c r="G26" s="303" t="s">
        <v>376</v>
      </c>
      <c r="H26" s="8"/>
      <c r="I26" s="124"/>
      <c r="J26" s="177" t="s">
        <v>664</v>
      </c>
      <c r="K26" s="197">
        <f>(GIS_inputs!C51/($I$17*$I$16))</f>
        <v>0</v>
      </c>
      <c r="L26" s="197">
        <f>(((GIS_inputs!C51*$B$80)/2000)/(IF(Rendering!$F$50&gt;0,Rendering!$F$50,(IF(Rendering!$F$53&gt;0,Rendering!$F$53,IF(Rendering!$F$56&gt;0,Rendering!$F$56,Rendering!$F$59))))*(IF(Rendering!$F$50&gt;0,Rendering!$F$51,(IF(Rendering!$F$53&gt;0,Rendering!$F$54,IF(Rendering!$F$56&gt;0,Rendering!$F$57,Rendering!$F$60)))))))</f>
        <v>0</v>
      </c>
      <c r="M26" s="197">
        <f>(((GIS_inputs!C51)*B80/2000)/$F$64)</f>
        <v>0</v>
      </c>
      <c r="N26" s="268">
        <f>(($F$71/$F$70)*(M26/$M$40))+(((GIS_inputs!C51*Depopulation!B77)/2000)/(($F$49*$F$50)+($F$52*$F$53)+($F$55*$F$56)+($F$58*$F$59)))</f>
        <v>0</v>
      </c>
      <c r="O26" s="444">
        <f t="shared" ref="O26:O28" si="1">SUM(K26:N26)</f>
        <v>0</v>
      </c>
      <c r="P26" s="125" t="s">
        <v>432</v>
      </c>
      <c r="Q26" s="8"/>
      <c r="R26" s="270" t="s">
        <v>676</v>
      </c>
      <c r="S26" s="200">
        <f>$F$15*$I$16*K26</f>
        <v>0</v>
      </c>
      <c r="T26" s="8"/>
      <c r="U26" s="2" t="s">
        <v>688</v>
      </c>
      <c r="V26" s="202">
        <f>($I$16*$F$21*K26)</f>
        <v>0</v>
      </c>
      <c r="W26" s="203">
        <f>(($B$79*GIS_inputs!C51)/2000)*($F$43+$F$44)+($F$35*K26)</f>
        <v>0</v>
      </c>
      <c r="X26" s="204">
        <f t="shared" ref="X26:X28" si="2">(($F$30+$F$26+$F$28)+($H$17*($F$38)))*(K26/$K$40)+($F$39)*K26</f>
        <v>0</v>
      </c>
      <c r="Y26" s="204">
        <f>(($F$69*$F$71)+$F$73+$F$74+$F$75+($F$72*K26))*(GIS_inputs!C51/GIS_inputs!$C$54)</f>
        <v>0</v>
      </c>
      <c r="Z26" s="205">
        <f>SUM(V26:Y26)</f>
        <v>0</v>
      </c>
      <c r="AA26" s="8"/>
      <c r="AB26" s="2" t="s">
        <v>700</v>
      </c>
      <c r="AC26" s="205">
        <f>S26</f>
        <v>0</v>
      </c>
      <c r="AD26" s="205">
        <f>Z26</f>
        <v>0</v>
      </c>
      <c r="AE26" s="205">
        <f>((GIS_inputs!C51*Depopulation!B77)/2000)*($B$63)</f>
        <v>0</v>
      </c>
      <c r="AF26" s="205">
        <f>AC26+AD26+AE26</f>
        <v>0</v>
      </c>
      <c r="AG26" s="126"/>
    </row>
    <row r="27" spans="1:33" x14ac:dyDescent="0.35">
      <c r="A27" s="316"/>
      <c r="B27" s="5"/>
      <c r="C27" s="11"/>
      <c r="D27" s="220">
        <v>1.5</v>
      </c>
      <c r="E27" s="11" t="s">
        <v>630</v>
      </c>
      <c r="F27" s="113">
        <f>D27*F14</f>
        <v>18</v>
      </c>
      <c r="G27" s="303" t="s">
        <v>151</v>
      </c>
      <c r="H27" s="8"/>
      <c r="I27" s="124"/>
      <c r="J27" s="177" t="s">
        <v>665</v>
      </c>
      <c r="K27" s="197">
        <f>(GIS_inputs!C52/($I$17*$I$16))</f>
        <v>0</v>
      </c>
      <c r="L27" s="197">
        <f>(((GIS_inputs!C52*$B$81)/2000)/(IF(Rendering!$F$50&gt;0,Rendering!$F$50,(IF(Rendering!$F$53&gt;0,Rendering!$F$53,IF(Rendering!$F$56&gt;0,Rendering!$F$56,Rendering!$F$59))))*(IF(Rendering!$F$50&gt;0,Rendering!$F$51,(IF(Rendering!$F$53&gt;0,Rendering!$F$54,IF(Rendering!$F$56&gt;0,Rendering!$F$57,Rendering!$F$60)))))))</f>
        <v>0</v>
      </c>
      <c r="M27" s="197">
        <f>(((GIS_inputs!C52)*B81/2000)/$F$64)</f>
        <v>0</v>
      </c>
      <c r="N27" s="268">
        <f>(($F$71/$F$70)*(M27/$M$40))+(((GIS_inputs!C52*Depopulation!B78)/2000)/(($F$49*$F$50)+($F$52*$F$53)+($F$55*$F$56)+($F$58*$F$59)))</f>
        <v>0</v>
      </c>
      <c r="O27" s="444">
        <f t="shared" si="1"/>
        <v>0</v>
      </c>
      <c r="P27" s="125" t="s">
        <v>432</v>
      </c>
      <c r="Q27" s="8"/>
      <c r="R27" s="270" t="s">
        <v>677</v>
      </c>
      <c r="S27" s="200">
        <f>$F$15*$I$16*K27</f>
        <v>0</v>
      </c>
      <c r="T27" s="8"/>
      <c r="U27" s="2" t="s">
        <v>689</v>
      </c>
      <c r="V27" s="202">
        <f>($I$16*$F$21*K27)</f>
        <v>0</v>
      </c>
      <c r="W27" s="203">
        <f>(($B$79*GIS_inputs!C52)/2000)*($F$43+$F$44)+($F$35*K27)</f>
        <v>0</v>
      </c>
      <c r="X27" s="204">
        <f t="shared" si="2"/>
        <v>0</v>
      </c>
      <c r="Y27" s="204">
        <f>(($F$69*$F$71)+$F$73+$F$74+$F$75+($F$72*K27))*(GIS_inputs!C52/GIS_inputs!$C$54)</f>
        <v>0</v>
      </c>
      <c r="Z27" s="205">
        <f>SUM(V27:Y27)</f>
        <v>0</v>
      </c>
      <c r="AA27" s="8"/>
      <c r="AB27" s="2" t="s">
        <v>701</v>
      </c>
      <c r="AC27" s="205">
        <f>S27</f>
        <v>0</v>
      </c>
      <c r="AD27" s="205">
        <f>Z27</f>
        <v>0</v>
      </c>
      <c r="AE27" s="205">
        <f>((GIS_inputs!C52*Depopulation!B78)/2000)*($B$63)</f>
        <v>0</v>
      </c>
      <c r="AF27" s="205">
        <f>AC27+AD27+AE27</f>
        <v>0</v>
      </c>
      <c r="AG27" s="126"/>
    </row>
    <row r="28" spans="1:33" x14ac:dyDescent="0.35">
      <c r="A28" s="316" t="s">
        <v>165</v>
      </c>
      <c r="B28" s="221">
        <v>161000</v>
      </c>
      <c r="C28" s="11" t="s">
        <v>120</v>
      </c>
      <c r="D28" s="220">
        <v>1</v>
      </c>
      <c r="E28" s="11" t="s">
        <v>117</v>
      </c>
      <c r="F28" s="114">
        <f>D28*B28</f>
        <v>161000</v>
      </c>
      <c r="G28" s="303" t="s">
        <v>376</v>
      </c>
      <c r="H28" s="8"/>
      <c r="I28" s="124"/>
      <c r="J28" s="177" t="s">
        <v>666</v>
      </c>
      <c r="K28" s="197">
        <f>(GIS_inputs!C53/($I$17*$I$16))</f>
        <v>0</v>
      </c>
      <c r="L28" s="197">
        <f>(((GIS_inputs!C53*$B$82)/2000)/(IF(Rendering!$F$50&gt;0,Rendering!$F$50,(IF(Rendering!$F$53&gt;0,Rendering!$F$53,IF(Rendering!$F$56&gt;0,Rendering!$F$56,Rendering!$F$59))))*(IF(Rendering!$F$50&gt;0,Rendering!$F$51,(IF(Rendering!$F$53&gt;0,Rendering!$F$54,IF(Rendering!$F$56&gt;0,Rendering!$F$57,Rendering!$F$60)))))))</f>
        <v>0</v>
      </c>
      <c r="M28" s="197">
        <f>(((GIS_inputs!C53)*B82/2000)/$F$64)</f>
        <v>0</v>
      </c>
      <c r="N28" s="268">
        <f>(($F$71/$F$70)*(M28/$M$40))+(((GIS_inputs!C53*Depopulation!B79)/2000)/(($F$49*$F$50)+($F$52*$F$53)+($F$55*$F$56)+($F$58*$F$59)))</f>
        <v>0</v>
      </c>
      <c r="O28" s="444">
        <f t="shared" si="1"/>
        <v>0</v>
      </c>
      <c r="P28" s="125" t="s">
        <v>432</v>
      </c>
      <c r="Q28" s="8"/>
      <c r="R28" s="270" t="s">
        <v>678</v>
      </c>
      <c r="S28" s="200">
        <f>$F$15*$I$16*K28</f>
        <v>0</v>
      </c>
      <c r="T28" s="8"/>
      <c r="U28" s="2" t="s">
        <v>690</v>
      </c>
      <c r="V28" s="202">
        <f>($I$16*$F$21*K28)</f>
        <v>0</v>
      </c>
      <c r="W28" s="203">
        <f>(($B$79*GIS_inputs!C53)/2000)*($F$43+$F$44)+($F$35*K28)</f>
        <v>0</v>
      </c>
      <c r="X28" s="204">
        <f t="shared" si="2"/>
        <v>0</v>
      </c>
      <c r="Y28" s="204">
        <f>(($F$69*$F$71)+$F$73+$F$74+$F$75+($F$72*K28))*(GIS_inputs!C53/GIS_inputs!$C$54)</f>
        <v>0</v>
      </c>
      <c r="Z28" s="205">
        <f>SUM(V28:Y28)</f>
        <v>0</v>
      </c>
      <c r="AA28" s="8"/>
      <c r="AB28" s="2" t="s">
        <v>702</v>
      </c>
      <c r="AC28" s="205">
        <f>S28</f>
        <v>0</v>
      </c>
      <c r="AD28" s="205">
        <f>Z28</f>
        <v>0</v>
      </c>
      <c r="AE28" s="205">
        <f>((GIS_inputs!C53*Depopulation!B79)/2000)*($B$63)</f>
        <v>0</v>
      </c>
      <c r="AF28" s="205">
        <f>AC28+AD28+AE28</f>
        <v>0</v>
      </c>
      <c r="AG28" s="126"/>
    </row>
    <row r="29" spans="1:33" x14ac:dyDescent="0.35">
      <c r="A29" s="316"/>
      <c r="B29" s="5"/>
      <c r="C29" s="11"/>
      <c r="D29" s="220">
        <v>40</v>
      </c>
      <c r="E29" s="11" t="s">
        <v>630</v>
      </c>
      <c r="F29" s="113">
        <f>D29*F14</f>
        <v>480</v>
      </c>
      <c r="G29" s="303" t="s">
        <v>151</v>
      </c>
      <c r="H29" s="8"/>
      <c r="I29" s="124"/>
      <c r="J29" s="124"/>
      <c r="K29" s="193"/>
      <c r="L29" s="193"/>
      <c r="M29" s="2"/>
      <c r="N29" s="8"/>
      <c r="O29" s="8"/>
      <c r="P29" s="126"/>
      <c r="Q29" s="8"/>
      <c r="R29" s="124"/>
      <c r="S29" s="271"/>
      <c r="T29" s="8"/>
      <c r="U29" s="8"/>
      <c r="V29" s="188"/>
      <c r="W29" s="188"/>
      <c r="X29" s="189"/>
      <c r="Y29" s="8"/>
      <c r="Z29" s="8"/>
      <c r="AA29" s="8"/>
      <c r="AB29" s="9"/>
      <c r="AC29" s="183"/>
      <c r="AD29" s="9"/>
      <c r="AE29" s="9"/>
      <c r="AF29" s="8"/>
      <c r="AG29" s="126"/>
    </row>
    <row r="30" spans="1:33" x14ac:dyDescent="0.35">
      <c r="A30" s="316" t="s">
        <v>605</v>
      </c>
      <c r="B30" s="221">
        <v>76000</v>
      </c>
      <c r="C30" s="11" t="s">
        <v>120</v>
      </c>
      <c r="D30" s="220">
        <v>1</v>
      </c>
      <c r="E30" s="11" t="s">
        <v>117</v>
      </c>
      <c r="F30" s="114">
        <f>D30*B30</f>
        <v>76000</v>
      </c>
      <c r="G30" s="303" t="s">
        <v>376</v>
      </c>
      <c r="H30" s="8"/>
      <c r="I30" s="124"/>
      <c r="J30" s="177" t="s">
        <v>667</v>
      </c>
      <c r="K30" s="197">
        <f>(GIS_inputs!C121/($I$17*$I$16))</f>
        <v>86.666666666666671</v>
      </c>
      <c r="L30" s="197">
        <f>(((GIS_inputs!C121*$B$79)/2000)/(IF(Rendering!$F$50&gt;0,Rendering!$F$50,(IF(Rendering!$F$53&gt;0,Rendering!$F$53,IF(Rendering!$F$56&gt;0,Rendering!$F$56,Rendering!$F$59))))*(IF(Rendering!$F$50&gt;0,Rendering!$F$51,(IF(Rendering!$F$53&gt;0,Rendering!$F$54,IF(Rendering!$F$56&gt;0,Rendering!$F$57,Rendering!$F$60)))))))</f>
        <v>2080</v>
      </c>
      <c r="M30" s="197">
        <f>(((GIS_inputs!C121)*B79/2000)/$F$64)</f>
        <v>1950</v>
      </c>
      <c r="N30" s="197">
        <f>($F$71/$F$70)*(M30/$M$40)+(((GIS_inputs!C121*Depopulation!B76)/2000)/(($F$49*$F$50)+($F$52*$F$53)+($F$55*$F$56)+($F$58*$F$59)))</f>
        <v>4160.6857142857143</v>
      </c>
      <c r="O30" s="197">
        <f t="shared" ref="O30:O33" si="3">SUM(K30:N30)</f>
        <v>8277.3523809523795</v>
      </c>
      <c r="P30" s="125" t="s">
        <v>432</v>
      </c>
      <c r="Q30" s="8"/>
      <c r="R30" s="270" t="s">
        <v>679</v>
      </c>
      <c r="S30" s="200">
        <f>$F$15*$I$16*K30</f>
        <v>9380800</v>
      </c>
      <c r="T30" s="8"/>
      <c r="U30" s="2" t="s">
        <v>691</v>
      </c>
      <c r="V30" s="204">
        <f>($I$16*$F$21*K30)</f>
        <v>781733.33333333337</v>
      </c>
      <c r="W30" s="204">
        <f>(($B$79*GIS_inputs!C121)/2000)*($F$43+$F$44)+($F$35*K30)</f>
        <v>343757.14285714284</v>
      </c>
      <c r="X30" s="204">
        <f>(($F$30+$F$26+$F$28)+($H$17*($F$38)))*(K30/$K$40)+($F$39)*K30</f>
        <v>200676.19047619047</v>
      </c>
      <c r="Y30" s="204">
        <f>(($F$69*$F$71)+$F$73+$F$74+$F$75+($F$72*K30))*(GIS_inputs!C121/GIS_inputs!$C$125)</f>
        <v>3081996.6666666665</v>
      </c>
      <c r="Z30" s="205">
        <f>SUM(V30:Y30)</f>
        <v>4408163.333333333</v>
      </c>
      <c r="AA30" s="8"/>
      <c r="AB30" s="2" t="s">
        <v>703</v>
      </c>
      <c r="AC30" s="205">
        <f>S30</f>
        <v>9380800</v>
      </c>
      <c r="AD30" s="205">
        <f>Z30</f>
        <v>4408163.333333333</v>
      </c>
      <c r="AE30" s="205">
        <f>((GIS_inputs!C121*Depopulation!B76)/2000)*($B$63)</f>
        <v>32448000</v>
      </c>
      <c r="AF30" s="205">
        <f>AC30+AD30+AE30</f>
        <v>46236963.333333328</v>
      </c>
      <c r="AG30" s="126"/>
    </row>
    <row r="31" spans="1:33" x14ac:dyDescent="0.35">
      <c r="A31" s="419" t="s">
        <v>129</v>
      </c>
      <c r="B31" s="221">
        <v>35</v>
      </c>
      <c r="C31" s="11" t="s">
        <v>155</v>
      </c>
      <c r="D31" s="220">
        <v>1</v>
      </c>
      <c r="E31" s="11" t="s">
        <v>117</v>
      </c>
      <c r="F31" s="225">
        <f>D31*B31*8</f>
        <v>280</v>
      </c>
      <c r="G31" s="410" t="s">
        <v>149</v>
      </c>
      <c r="H31" s="9"/>
      <c r="I31" s="124"/>
      <c r="J31" s="177" t="s">
        <v>668</v>
      </c>
      <c r="K31" s="197">
        <f>(GIS_inputs!C122/($I$17*$I$16))</f>
        <v>0</v>
      </c>
      <c r="L31" s="197">
        <f>(((GIS_inputs!C122*$B$79)/2000)/(IF(Rendering!$F$50&gt;0,Rendering!$F$50,(IF(Rendering!$F$53&gt;0,Rendering!$F$53,IF(Rendering!$F$56&gt;0,Rendering!$F$56,Rendering!$F$59))))*(IF(Rendering!$F$50&gt;0,Rendering!$F$51,(IF(Rendering!$F$53&gt;0,Rendering!$F$54,IF(Rendering!$F$56&gt;0,Rendering!$F$57,Rendering!$F$60)))))))</f>
        <v>0</v>
      </c>
      <c r="M31" s="197">
        <f>(((GIS_inputs!C122)*B80/2000)/$F$64)</f>
        <v>0</v>
      </c>
      <c r="N31" s="197">
        <f>($F$71/$F$70)*(M31/$M$40)+(((GIS_inputs!C122*Depopulation!B77)/2000)/(($F$49*$F$50)+($F$52*$F$53)+($F$55*$F$56)+($F$58*$F$59)))</f>
        <v>0</v>
      </c>
      <c r="O31" s="444">
        <f t="shared" si="3"/>
        <v>0</v>
      </c>
      <c r="P31" s="125" t="s">
        <v>432</v>
      </c>
      <c r="Q31" s="8"/>
      <c r="R31" s="270" t="s">
        <v>680</v>
      </c>
      <c r="S31" s="200">
        <f>$F$15*$I$16*K31</f>
        <v>0</v>
      </c>
      <c r="T31" s="8"/>
      <c r="U31" s="2" t="s">
        <v>692</v>
      </c>
      <c r="V31" s="202">
        <f>($I$16*$F$21*K31)</f>
        <v>0</v>
      </c>
      <c r="W31" s="203">
        <f>(($B$79*GIS_inputs!C122)/2000)*($F$43+$F$44)+($F$35*K31)</f>
        <v>0</v>
      </c>
      <c r="X31" s="204">
        <f t="shared" ref="X31:X33" si="4">(($F$30+$F$26+$F$28)+($H$17*($F$38)))*(K31/$K$40)+($F$39)*K31</f>
        <v>0</v>
      </c>
      <c r="Y31" s="204">
        <f>(($F$69*$F$71)+$F$73+$F$74+$F$75+($F$72*K31))*(GIS_inputs!C122/GIS_inputs!$C$125)</f>
        <v>0</v>
      </c>
      <c r="Z31" s="205">
        <f>SUM(V31:Y31)</f>
        <v>0</v>
      </c>
      <c r="AA31" s="8"/>
      <c r="AB31" s="2" t="s">
        <v>704</v>
      </c>
      <c r="AC31" s="205">
        <f>S31</f>
        <v>0</v>
      </c>
      <c r="AD31" s="205">
        <f>Z31</f>
        <v>0</v>
      </c>
      <c r="AE31" s="205">
        <f>((GIS_inputs!C122*Depopulation!B77)/2000)*($B$63)</f>
        <v>0</v>
      </c>
      <c r="AF31" s="205">
        <f>AC31+AD31+AE31</f>
        <v>0</v>
      </c>
      <c r="AG31" s="126"/>
    </row>
    <row r="32" spans="1:33" x14ac:dyDescent="0.35">
      <c r="A32" s="419" t="s">
        <v>366</v>
      </c>
      <c r="B32" s="221">
        <v>40</v>
      </c>
      <c r="C32" s="11" t="s">
        <v>120</v>
      </c>
      <c r="D32" s="220">
        <v>4</v>
      </c>
      <c r="E32" s="11" t="s">
        <v>117</v>
      </c>
      <c r="F32" s="225">
        <f>D32*B32</f>
        <v>160</v>
      </c>
      <c r="G32" s="410" t="s">
        <v>1192</v>
      </c>
      <c r="H32" s="9"/>
      <c r="I32" s="124"/>
      <c r="J32" s="177" t="s">
        <v>669</v>
      </c>
      <c r="K32" s="197">
        <f>(GIS_inputs!C123/($I$17*$I$16))</f>
        <v>0</v>
      </c>
      <c r="L32" s="197">
        <f>(((GIS_inputs!C123*$B$79)/2000)/(IF(Rendering!$F$50&gt;0,Rendering!$F$50,(IF(Rendering!$F$53&gt;0,Rendering!$F$53,IF(Rendering!$F$56&gt;0,Rendering!$F$56,Rendering!$F$59))))*(IF(Rendering!$F$50&gt;0,Rendering!$F$51,(IF(Rendering!$F$53&gt;0,Rendering!$F$54,IF(Rendering!$F$56&gt;0,Rendering!$F$57,Rendering!$F$60)))))))</f>
        <v>0</v>
      </c>
      <c r="M32" s="197">
        <f>(((GIS_inputs!C123)*B81/2000)/$F$64)</f>
        <v>0</v>
      </c>
      <c r="N32" s="197">
        <f>($F$71/$F$70)*(M32/$M$40)+(((GIS_inputs!C123*Depopulation!B78)/2000)/(($F$49*$F$50)+($F$52*$F$53)+($F$55*$F$56)+($F$58*$F$59)))</f>
        <v>0</v>
      </c>
      <c r="O32" s="444">
        <f t="shared" si="3"/>
        <v>0</v>
      </c>
      <c r="P32" s="125" t="s">
        <v>432</v>
      </c>
      <c r="Q32" s="8"/>
      <c r="R32" s="270" t="s">
        <v>681</v>
      </c>
      <c r="S32" s="200">
        <f>$F$15*$I$16*K32</f>
        <v>0</v>
      </c>
      <c r="T32" s="8"/>
      <c r="U32" s="2" t="s">
        <v>693</v>
      </c>
      <c r="V32" s="202">
        <f>($I$16*$F$21*K32)</f>
        <v>0</v>
      </c>
      <c r="W32" s="203">
        <f>(($B$79*GIS_inputs!C123)/2000)*($F$43+$F$44)+($F$35*K32)</f>
        <v>0</v>
      </c>
      <c r="X32" s="204">
        <f t="shared" si="4"/>
        <v>0</v>
      </c>
      <c r="Y32" s="204">
        <f>(($F$69*$F$71)+$F$73+$F$74+$F$75+($F$72*K32))*(GIS_inputs!C123/GIS_inputs!$C$125)</f>
        <v>0</v>
      </c>
      <c r="Z32" s="205">
        <f>SUM(V32:Y32)</f>
        <v>0</v>
      </c>
      <c r="AA32" s="8"/>
      <c r="AB32" s="2" t="s">
        <v>705</v>
      </c>
      <c r="AC32" s="205">
        <f>S32</f>
        <v>0</v>
      </c>
      <c r="AD32" s="205">
        <f>Z32</f>
        <v>0</v>
      </c>
      <c r="AE32" s="205">
        <f>((GIS_inputs!C123*Depopulation!B78)/2000)*($B$63)</f>
        <v>0</v>
      </c>
      <c r="AF32" s="205">
        <f>AC32+AD32+AE32</f>
        <v>0</v>
      </c>
      <c r="AG32" s="126"/>
    </row>
    <row r="33" spans="1:33" x14ac:dyDescent="0.35">
      <c r="A33" s="419" t="s">
        <v>365</v>
      </c>
      <c r="B33" s="221">
        <v>30</v>
      </c>
      <c r="C33" s="11" t="s">
        <v>120</v>
      </c>
      <c r="D33" s="220">
        <v>4</v>
      </c>
      <c r="E33" s="11" t="s">
        <v>117</v>
      </c>
      <c r="F33" s="225">
        <f>D33*B33</f>
        <v>120</v>
      </c>
      <c r="G33" s="410" t="s">
        <v>1192</v>
      </c>
      <c r="H33" s="8"/>
      <c r="I33" s="124"/>
      <c r="J33" s="177" t="s">
        <v>670</v>
      </c>
      <c r="K33" s="197">
        <f>(GIS_inputs!C124/($I$17*$I$16))</f>
        <v>0</v>
      </c>
      <c r="L33" s="197">
        <f>(((GIS_inputs!C124*$B$79)/2000)/(IF(Rendering!$F$50&gt;0,Rendering!$F$50,(IF(Rendering!$F$53&gt;0,Rendering!$F$53,IF(Rendering!$F$56&gt;0,Rendering!$F$56,Rendering!$F$59))))*(IF(Rendering!$F$50&gt;0,Rendering!$F$51,(IF(Rendering!$F$53&gt;0,Rendering!$F$54,IF(Rendering!$F$56&gt;0,Rendering!$F$57,Rendering!$F$60)))))))</f>
        <v>0</v>
      </c>
      <c r="M33" s="197">
        <f>(((GIS_inputs!C124)*B82/2000)/$F$64)</f>
        <v>0</v>
      </c>
      <c r="N33" s="197">
        <f>($F$71/$F$70)*(M33/$M$40)+(((GIS_inputs!C124*Depopulation!B79)/2000)/(($F$49*$F$50)+($F$52*$F$53)+($F$55*$F$56)+($F$58*$F$59)))</f>
        <v>0</v>
      </c>
      <c r="O33" s="444">
        <f t="shared" si="3"/>
        <v>0</v>
      </c>
      <c r="P33" s="125" t="s">
        <v>432</v>
      </c>
      <c r="Q33" s="8"/>
      <c r="R33" s="270" t="s">
        <v>682</v>
      </c>
      <c r="S33" s="200">
        <f>$F$15*$I$16*K33</f>
        <v>0</v>
      </c>
      <c r="T33" s="8"/>
      <c r="U33" s="2" t="s">
        <v>694</v>
      </c>
      <c r="V33" s="202">
        <f>($I$16*$F$21*K33)</f>
        <v>0</v>
      </c>
      <c r="W33" s="203">
        <f>(($B$79*GIS_inputs!C124)/2000)*($F$43+$F$44)+($F$35*K33)</f>
        <v>0</v>
      </c>
      <c r="X33" s="204">
        <f t="shared" si="4"/>
        <v>0</v>
      </c>
      <c r="Y33" s="204">
        <f>(($F$69*$F$71)+$F$73+$F$74+$F$75+($F$72*K33))*(GIS_inputs!C124/GIS_inputs!$C$125)</f>
        <v>0</v>
      </c>
      <c r="Z33" s="205">
        <f>SUM(V33:Y33)</f>
        <v>0</v>
      </c>
      <c r="AA33" s="8"/>
      <c r="AB33" s="2" t="s">
        <v>706</v>
      </c>
      <c r="AC33" s="205">
        <f>S33</f>
        <v>0</v>
      </c>
      <c r="AD33" s="205">
        <f>Z33</f>
        <v>0</v>
      </c>
      <c r="AE33" s="205">
        <f>((GIS_inputs!C124*Depopulation!B79)/2000)*($B$63)</f>
        <v>0</v>
      </c>
      <c r="AF33" s="205">
        <f>AC33+AD33+AE33</f>
        <v>0</v>
      </c>
      <c r="AG33" s="126"/>
    </row>
    <row r="34" spans="1:33" x14ac:dyDescent="0.35">
      <c r="A34" s="419" t="s">
        <v>364</v>
      </c>
      <c r="B34" s="221">
        <v>745</v>
      </c>
      <c r="C34" s="11" t="s">
        <v>163</v>
      </c>
      <c r="D34" s="220">
        <v>1</v>
      </c>
      <c r="E34" s="11" t="s">
        <v>117</v>
      </c>
      <c r="F34" s="225">
        <f>D34*B34/7</f>
        <v>106.42857142857143</v>
      </c>
      <c r="G34" s="410" t="s">
        <v>149</v>
      </c>
      <c r="H34" s="8"/>
      <c r="I34" s="124"/>
      <c r="J34" s="124"/>
      <c r="K34" s="193"/>
      <c r="L34" s="193"/>
      <c r="M34" s="8"/>
      <c r="N34" s="8"/>
      <c r="O34" s="8"/>
      <c r="P34" s="126"/>
      <c r="Q34" s="8"/>
      <c r="R34" s="124"/>
      <c r="S34" s="271"/>
      <c r="T34" s="8"/>
      <c r="U34" s="8"/>
      <c r="V34" s="188"/>
      <c r="W34" s="188"/>
      <c r="X34" s="189"/>
      <c r="Y34" s="8"/>
      <c r="Z34" s="8"/>
      <c r="AA34" s="8"/>
      <c r="AB34" s="8"/>
      <c r="AC34" s="184"/>
      <c r="AD34" s="8"/>
      <c r="AE34" s="8"/>
      <c r="AF34" s="8"/>
      <c r="AG34" s="126"/>
    </row>
    <row r="35" spans="1:33" ht="29" x14ac:dyDescent="0.35">
      <c r="A35" s="539" t="s">
        <v>374</v>
      </c>
      <c r="B35" s="535">
        <v>513</v>
      </c>
      <c r="C35" s="272" t="s">
        <v>163</v>
      </c>
      <c r="D35" s="536">
        <v>5</v>
      </c>
      <c r="E35" s="272" t="s">
        <v>117</v>
      </c>
      <c r="F35" s="540">
        <f>D35*B35/7</f>
        <v>366.42857142857144</v>
      </c>
      <c r="G35" s="541" t="s">
        <v>149</v>
      </c>
      <c r="H35" s="8"/>
      <c r="I35" s="124"/>
      <c r="J35" s="177" t="s">
        <v>671</v>
      </c>
      <c r="K35" s="212">
        <f>K30+K25</f>
        <v>151.66666666666669</v>
      </c>
      <c r="L35" s="212">
        <f>L25+L30</f>
        <v>3640</v>
      </c>
      <c r="M35" s="212">
        <f>M30+M25</f>
        <v>3412.5</v>
      </c>
      <c r="N35" s="212">
        <f>N30+N25</f>
        <v>7281.2</v>
      </c>
      <c r="O35" s="212">
        <f>O25+O30</f>
        <v>14485.366666666665</v>
      </c>
      <c r="P35" s="125" t="s">
        <v>432</v>
      </c>
      <c r="Q35" s="8"/>
      <c r="R35" s="177" t="s">
        <v>683</v>
      </c>
      <c r="S35" s="200">
        <f>S25+S30</f>
        <v>16416400</v>
      </c>
      <c r="T35" s="8"/>
      <c r="U35" s="2" t="s">
        <v>695</v>
      </c>
      <c r="V35" s="204">
        <f>V30+V25</f>
        <v>1368033.3333333335</v>
      </c>
      <c r="W35" s="223">
        <f>W30+W25</f>
        <v>601575</v>
      </c>
      <c r="X35" s="223">
        <f>X30+X25</f>
        <v>351183.33333333331</v>
      </c>
      <c r="Y35" s="223">
        <f>Y30+Y25</f>
        <v>6143626.666666666</v>
      </c>
      <c r="Z35" s="205">
        <f>SUM(V35:Y35)</f>
        <v>8464418.3333333321</v>
      </c>
      <c r="AA35" s="8"/>
      <c r="AB35" s="2" t="s">
        <v>707</v>
      </c>
      <c r="AC35" s="205">
        <f>S35</f>
        <v>16416400</v>
      </c>
      <c r="AD35" s="205">
        <f>Z35</f>
        <v>8464418.3333333321</v>
      </c>
      <c r="AE35" s="205">
        <f>AE25+AE30</f>
        <v>56784000</v>
      </c>
      <c r="AF35" s="205">
        <f>AC35+AD35+AE35</f>
        <v>81664818.333333328</v>
      </c>
      <c r="AG35" s="126"/>
    </row>
    <row r="36" spans="1:33" ht="15" customHeight="1" x14ac:dyDescent="0.35">
      <c r="A36" s="531" t="s">
        <v>1208</v>
      </c>
      <c r="B36" s="221"/>
      <c r="C36" s="11"/>
      <c r="D36" s="220"/>
      <c r="E36" s="11"/>
      <c r="F36" s="33">
        <f>B36*D36</f>
        <v>0</v>
      </c>
      <c r="G36" s="410" t="s">
        <v>1192</v>
      </c>
      <c r="H36" s="8"/>
      <c r="I36" s="124"/>
      <c r="J36" s="177" t="s">
        <v>672</v>
      </c>
      <c r="K36" s="212">
        <f t="shared" ref="K36:N38" si="5">K31+K26</f>
        <v>0</v>
      </c>
      <c r="L36" s="212">
        <f>L26+L31</f>
        <v>0</v>
      </c>
      <c r="M36" s="212">
        <f t="shared" si="5"/>
        <v>0</v>
      </c>
      <c r="N36" s="212">
        <f t="shared" si="5"/>
        <v>0</v>
      </c>
      <c r="O36" s="212">
        <f t="shared" ref="O36:O38" si="6">O26+O31</f>
        <v>0</v>
      </c>
      <c r="P36" s="125" t="s">
        <v>432</v>
      </c>
      <c r="Q36" s="8"/>
      <c r="R36" s="177" t="s">
        <v>684</v>
      </c>
      <c r="S36" s="200">
        <f>S26+S31</f>
        <v>0</v>
      </c>
      <c r="T36" s="8"/>
      <c r="U36" s="2" t="s">
        <v>696</v>
      </c>
      <c r="V36" s="204">
        <f t="shared" ref="V36:Y38" si="7">V31+V26</f>
        <v>0</v>
      </c>
      <c r="W36" s="223">
        <f t="shared" si="7"/>
        <v>0</v>
      </c>
      <c r="X36" s="223">
        <f t="shared" si="7"/>
        <v>0</v>
      </c>
      <c r="Y36" s="223">
        <f t="shared" si="7"/>
        <v>0</v>
      </c>
      <c r="Z36" s="205">
        <f>SUM(V36:Y36)</f>
        <v>0</v>
      </c>
      <c r="AA36" s="8"/>
      <c r="AB36" s="2" t="s">
        <v>708</v>
      </c>
      <c r="AC36" s="205">
        <f>S36</f>
        <v>0</v>
      </c>
      <c r="AD36" s="205">
        <f>Z36</f>
        <v>0</v>
      </c>
      <c r="AE36" s="205">
        <f t="shared" ref="AE36:AE38" si="8">AE26+AE31</f>
        <v>0</v>
      </c>
      <c r="AF36" s="205">
        <f>AC36+AD36+AE36</f>
        <v>0</v>
      </c>
      <c r="AG36" s="126"/>
    </row>
    <row r="37" spans="1:33" x14ac:dyDescent="0.35">
      <c r="A37" s="531"/>
      <c r="B37" s="5"/>
      <c r="C37" s="11"/>
      <c r="D37" s="31"/>
      <c r="E37" s="11"/>
      <c r="F37" s="33"/>
      <c r="G37" s="410"/>
      <c r="H37" s="8"/>
      <c r="I37" s="124"/>
      <c r="J37" s="177" t="s">
        <v>673</v>
      </c>
      <c r="K37" s="212">
        <f t="shared" si="5"/>
        <v>0</v>
      </c>
      <c r="L37" s="212">
        <f>L27+L32</f>
        <v>0</v>
      </c>
      <c r="M37" s="212">
        <f t="shared" si="5"/>
        <v>0</v>
      </c>
      <c r="N37" s="212">
        <f t="shared" si="5"/>
        <v>0</v>
      </c>
      <c r="O37" s="212">
        <f t="shared" si="6"/>
        <v>0</v>
      </c>
      <c r="P37" s="125" t="s">
        <v>432</v>
      </c>
      <c r="Q37" s="8"/>
      <c r="R37" s="177" t="s">
        <v>685</v>
      </c>
      <c r="S37" s="200">
        <f>S27+S32</f>
        <v>0</v>
      </c>
      <c r="T37" s="8"/>
      <c r="U37" s="2" t="s">
        <v>697</v>
      </c>
      <c r="V37" s="204">
        <f t="shared" si="7"/>
        <v>0</v>
      </c>
      <c r="W37" s="223">
        <f t="shared" si="7"/>
        <v>0</v>
      </c>
      <c r="X37" s="223">
        <f t="shared" si="7"/>
        <v>0</v>
      </c>
      <c r="Y37" s="223">
        <f t="shared" si="7"/>
        <v>0</v>
      </c>
      <c r="Z37" s="205">
        <f>SUM(V37:Y37)</f>
        <v>0</v>
      </c>
      <c r="AA37" s="8"/>
      <c r="AB37" s="2" t="s">
        <v>709</v>
      </c>
      <c r="AC37" s="205">
        <f>S37</f>
        <v>0</v>
      </c>
      <c r="AD37" s="205">
        <f>Z37</f>
        <v>0</v>
      </c>
      <c r="AE37" s="205">
        <f t="shared" si="8"/>
        <v>0</v>
      </c>
      <c r="AF37" s="205">
        <f>AC37+AD37+AE37</f>
        <v>0</v>
      </c>
      <c r="AG37" s="126"/>
    </row>
    <row r="38" spans="1:33" x14ac:dyDescent="0.35">
      <c r="A38" s="341" t="s">
        <v>87</v>
      </c>
      <c r="B38" s="5"/>
      <c r="C38" s="11"/>
      <c r="D38" s="31"/>
      <c r="E38" s="11"/>
      <c r="F38" s="115">
        <f>F32+F33+F36</f>
        <v>280</v>
      </c>
      <c r="G38" s="420" t="s">
        <v>1192</v>
      </c>
      <c r="H38" s="8"/>
      <c r="I38" s="124"/>
      <c r="J38" s="177" t="s">
        <v>674</v>
      </c>
      <c r="K38" s="212">
        <f t="shared" si="5"/>
        <v>0</v>
      </c>
      <c r="L38" s="212">
        <f>L28+L33</f>
        <v>0</v>
      </c>
      <c r="M38" s="212">
        <f t="shared" si="5"/>
        <v>0</v>
      </c>
      <c r="N38" s="212">
        <f t="shared" si="5"/>
        <v>0</v>
      </c>
      <c r="O38" s="212">
        <f t="shared" si="6"/>
        <v>0</v>
      </c>
      <c r="P38" s="125" t="s">
        <v>432</v>
      </c>
      <c r="Q38" s="8"/>
      <c r="R38" s="177" t="s">
        <v>686</v>
      </c>
      <c r="S38" s="200">
        <f>S28+S33</f>
        <v>0</v>
      </c>
      <c r="T38" s="8"/>
      <c r="U38" s="2" t="s">
        <v>698</v>
      </c>
      <c r="V38" s="204">
        <f t="shared" si="7"/>
        <v>0</v>
      </c>
      <c r="W38" s="223">
        <f t="shared" si="7"/>
        <v>0</v>
      </c>
      <c r="X38" s="223">
        <f t="shared" si="7"/>
        <v>0</v>
      </c>
      <c r="Y38" s="223">
        <f t="shared" si="7"/>
        <v>0</v>
      </c>
      <c r="Z38" s="205">
        <f>SUM(V38:Y38)</f>
        <v>0</v>
      </c>
      <c r="AA38" s="8"/>
      <c r="AB38" s="2" t="s">
        <v>710</v>
      </c>
      <c r="AC38" s="205">
        <f>S38</f>
        <v>0</v>
      </c>
      <c r="AD38" s="205">
        <f>Z38</f>
        <v>0</v>
      </c>
      <c r="AE38" s="205">
        <f t="shared" si="8"/>
        <v>0</v>
      </c>
      <c r="AF38" s="205">
        <f>AC38+AD38+AE38</f>
        <v>0</v>
      </c>
      <c r="AG38" s="126"/>
    </row>
    <row r="39" spans="1:33" ht="15" thickBot="1" x14ac:dyDescent="0.4">
      <c r="A39" s="284" t="s">
        <v>105</v>
      </c>
      <c r="B39" s="305"/>
      <c r="C39" s="306"/>
      <c r="D39" s="336"/>
      <c r="E39" s="306"/>
      <c r="F39" s="318">
        <f>F31+F34+F35</f>
        <v>752.85714285714289</v>
      </c>
      <c r="G39" s="290" t="s">
        <v>149</v>
      </c>
      <c r="H39" s="8"/>
      <c r="I39" s="124"/>
      <c r="J39" s="124"/>
      <c r="K39" s="193"/>
      <c r="L39" s="193"/>
      <c r="M39" s="8"/>
      <c r="N39" s="8"/>
      <c r="O39" s="8"/>
      <c r="P39" s="126"/>
      <c r="Q39" s="8"/>
      <c r="R39" s="124"/>
      <c r="S39" s="181"/>
      <c r="T39" s="8"/>
      <c r="U39" s="2"/>
      <c r="V39" s="185"/>
      <c r="W39" s="186"/>
      <c r="X39" s="186"/>
      <c r="Y39" s="186"/>
      <c r="Z39" s="187"/>
      <c r="AA39" s="8"/>
      <c r="AB39" s="2"/>
      <c r="AC39" s="182"/>
      <c r="AD39" s="2"/>
      <c r="AE39" s="2"/>
      <c r="AF39" s="2"/>
      <c r="AG39" s="126"/>
    </row>
    <row r="40" spans="1:33" ht="15" customHeight="1" thickBot="1" x14ac:dyDescent="0.4">
      <c r="A40" s="308"/>
      <c r="B40" s="319"/>
      <c r="C40" s="293"/>
      <c r="D40" s="293"/>
      <c r="E40" s="293"/>
      <c r="F40" s="293"/>
      <c r="G40" s="297"/>
      <c r="H40" s="224"/>
      <c r="I40" s="124"/>
      <c r="J40" s="178" t="s">
        <v>715</v>
      </c>
      <c r="K40" s="213">
        <f>SUM(K35:K38)</f>
        <v>151.66666666666669</v>
      </c>
      <c r="L40" s="213">
        <f>SUM(L35:L38)</f>
        <v>3640</v>
      </c>
      <c r="M40" s="213">
        <f>SUM(M35:M38)</f>
        <v>3412.5</v>
      </c>
      <c r="N40" s="213">
        <f>SUM(N35:N38)</f>
        <v>7281.2</v>
      </c>
      <c r="O40" s="213">
        <f>SUM(O35:O38)</f>
        <v>14485.366666666665</v>
      </c>
      <c r="P40" s="129" t="s">
        <v>432</v>
      </c>
      <c r="Q40" s="8"/>
      <c r="R40" s="178" t="s">
        <v>716</v>
      </c>
      <c r="S40" s="201">
        <f>SUM(S35:S38)</f>
        <v>16416400</v>
      </c>
      <c r="T40" s="8"/>
      <c r="U40" s="4" t="s">
        <v>717</v>
      </c>
      <c r="V40" s="204">
        <f>SUM(V35:V38)</f>
        <v>1368033.3333333335</v>
      </c>
      <c r="W40" s="207">
        <f>SUM(W35:W38)</f>
        <v>601575</v>
      </c>
      <c r="X40" s="207">
        <f>SUM(X35:X38)</f>
        <v>351183.33333333331</v>
      </c>
      <c r="Y40" s="207">
        <f>SUM(Y35:Y38)</f>
        <v>6143626.666666666</v>
      </c>
      <c r="Z40" s="205">
        <f>SUM(V40:Y40)</f>
        <v>8464418.3333333321</v>
      </c>
      <c r="AA40" s="8"/>
      <c r="AB40" s="4" t="s">
        <v>806</v>
      </c>
      <c r="AC40" s="208">
        <f>SUM(AC35:AC38)</f>
        <v>16416400</v>
      </c>
      <c r="AD40" s="208">
        <f>SUM(AD35:AD38)</f>
        <v>8464418.3333333321</v>
      </c>
      <c r="AE40" s="208">
        <f>SUM(AE35:AE38)</f>
        <v>56784000</v>
      </c>
      <c r="AF40" s="208">
        <f>SUM(AF35:AF38)</f>
        <v>81664818.333333328</v>
      </c>
      <c r="AG40" s="126"/>
    </row>
    <row r="41" spans="1:33" ht="15" customHeight="1" x14ac:dyDescent="0.35">
      <c r="A41" s="314" t="s">
        <v>133</v>
      </c>
      <c r="B41" s="278" t="s">
        <v>28</v>
      </c>
      <c r="C41" s="278" t="s">
        <v>150</v>
      </c>
      <c r="D41" s="278" t="s">
        <v>65</v>
      </c>
      <c r="E41" s="278" t="s">
        <v>150</v>
      </c>
      <c r="F41" s="279" t="s">
        <v>30</v>
      </c>
      <c r="G41" s="280" t="s">
        <v>150</v>
      </c>
      <c r="H41" s="8"/>
      <c r="I41" s="124"/>
      <c r="J41" s="8"/>
      <c r="K41" s="8"/>
      <c r="L41" s="8"/>
      <c r="M41" s="8"/>
      <c r="N41" s="8"/>
      <c r="O41" s="8"/>
      <c r="P41" s="8"/>
      <c r="Q41" s="8"/>
      <c r="R41" s="8"/>
      <c r="S41" s="8"/>
      <c r="T41" s="8"/>
      <c r="U41" s="8"/>
      <c r="V41" s="8"/>
      <c r="W41" s="8"/>
      <c r="X41" s="8"/>
      <c r="Y41" s="8"/>
      <c r="Z41" s="8"/>
      <c r="AA41" s="8"/>
      <c r="AB41" s="8"/>
      <c r="AC41" s="8"/>
      <c r="AD41" s="8"/>
      <c r="AE41" s="8"/>
      <c r="AF41" s="8"/>
      <c r="AG41" s="126"/>
    </row>
    <row r="42" spans="1:33" ht="30" customHeight="1" x14ac:dyDescent="0.35">
      <c r="A42" s="322"/>
      <c r="B42" s="73"/>
      <c r="C42" s="73"/>
      <c r="D42" s="73"/>
      <c r="E42" s="73"/>
      <c r="F42" s="74"/>
      <c r="G42" s="283"/>
      <c r="H42" s="8"/>
      <c r="I42" s="124"/>
      <c r="J42" s="9" t="s">
        <v>1263</v>
      </c>
      <c r="K42" s="9"/>
      <c r="L42" s="9"/>
      <c r="M42" s="9"/>
      <c r="N42" s="9"/>
      <c r="O42" s="9"/>
      <c r="P42" s="8"/>
      <c r="Q42" s="9"/>
      <c r="R42" s="9"/>
      <c r="S42" s="8"/>
      <c r="T42" s="8"/>
      <c r="U42" s="8"/>
      <c r="V42" s="8"/>
      <c r="W42" s="8"/>
      <c r="X42" s="8"/>
      <c r="Y42" s="184"/>
      <c r="Z42" s="8"/>
      <c r="AA42" s="8"/>
      <c r="AB42" s="8"/>
      <c r="AC42" s="8"/>
      <c r="AD42" s="8"/>
      <c r="AE42" s="8"/>
      <c r="AF42" s="8"/>
      <c r="AG42" s="126"/>
    </row>
    <row r="43" spans="1:33" ht="15" customHeight="1" x14ac:dyDescent="0.35">
      <c r="A43" s="323" t="s">
        <v>375</v>
      </c>
      <c r="B43" s="221">
        <v>1</v>
      </c>
      <c r="C43" s="11" t="s">
        <v>152</v>
      </c>
      <c r="D43" s="220"/>
      <c r="E43" s="11"/>
      <c r="F43" s="114">
        <f>B43</f>
        <v>1</v>
      </c>
      <c r="G43" s="303" t="s">
        <v>152</v>
      </c>
      <c r="H43" s="8"/>
      <c r="I43" s="190"/>
      <c r="J43" s="8"/>
      <c r="K43" s="191"/>
      <c r="L43" s="8"/>
      <c r="M43" s="8"/>
      <c r="N43" s="8"/>
      <c r="O43" s="8"/>
      <c r="P43" s="9"/>
      <c r="Q43" s="8"/>
      <c r="R43" s="192"/>
      <c r="S43" s="8"/>
      <c r="T43" s="8"/>
      <c r="U43" s="8"/>
      <c r="V43" s="8"/>
      <c r="W43" s="8"/>
      <c r="X43" s="8"/>
      <c r="Y43" s="8"/>
      <c r="Z43" s="8"/>
      <c r="AA43" s="8"/>
      <c r="AB43" s="8"/>
      <c r="AC43" s="8"/>
      <c r="AD43" s="8"/>
      <c r="AE43" s="8"/>
      <c r="AF43" s="8"/>
      <c r="AG43" s="126"/>
    </row>
    <row r="44" spans="1:33" ht="15" thickBot="1" x14ac:dyDescent="0.4">
      <c r="A44" s="324" t="s">
        <v>1257</v>
      </c>
      <c r="B44" s="285">
        <v>1</v>
      </c>
      <c r="C44" s="306" t="s">
        <v>152</v>
      </c>
      <c r="D44" s="317"/>
      <c r="E44" s="306"/>
      <c r="F44" s="325">
        <f>B44</f>
        <v>1</v>
      </c>
      <c r="G44" s="290" t="s">
        <v>152</v>
      </c>
      <c r="H44" s="224"/>
      <c r="I44" s="124"/>
      <c r="J44" s="8"/>
      <c r="K44" s="8"/>
      <c r="L44" s="8"/>
      <c r="M44" s="8"/>
      <c r="N44" s="8"/>
      <c r="O44" s="8"/>
      <c r="P44" s="8"/>
      <c r="Q44" s="8"/>
      <c r="R44" s="192"/>
      <c r="S44" s="8"/>
      <c r="T44" s="8"/>
      <c r="U44" s="8"/>
      <c r="V44" s="8"/>
      <c r="W44" s="8"/>
      <c r="X44" s="8"/>
      <c r="Y44" s="8"/>
      <c r="Z44" s="8"/>
      <c r="AA44" s="8"/>
      <c r="AB44" s="8"/>
      <c r="AC44" s="8"/>
      <c r="AD44" s="8"/>
      <c r="AE44" s="8"/>
      <c r="AF44" s="8"/>
      <c r="AG44" s="126"/>
    </row>
    <row r="45" spans="1:33" ht="15" thickBot="1" x14ac:dyDescent="0.4">
      <c r="A45" s="320"/>
      <c r="B45" s="326"/>
      <c r="C45" s="310"/>
      <c r="D45" s="310"/>
      <c r="E45" s="293"/>
      <c r="F45" s="293"/>
      <c r="G45" s="297"/>
      <c r="H45" s="224"/>
      <c r="I45" s="124"/>
      <c r="J45" s="8"/>
      <c r="K45" s="8"/>
      <c r="L45" s="8"/>
      <c r="M45" s="8"/>
      <c r="N45" s="8"/>
      <c r="O45" s="8"/>
      <c r="P45" s="8"/>
      <c r="Q45" s="8"/>
      <c r="R45" s="8"/>
      <c r="S45" s="8"/>
      <c r="T45" s="8" t="s">
        <v>467</v>
      </c>
      <c r="U45" s="8"/>
      <c r="V45" s="8"/>
      <c r="W45" s="8"/>
      <c r="X45" s="8"/>
      <c r="Y45" s="8"/>
      <c r="Z45" s="8"/>
      <c r="AA45" s="8"/>
      <c r="AB45" s="8"/>
      <c r="AC45" s="8"/>
      <c r="AD45" s="8"/>
      <c r="AE45" s="8"/>
      <c r="AF45" s="8"/>
      <c r="AG45" s="126"/>
    </row>
    <row r="46" spans="1:33" ht="15" thickBot="1" x14ac:dyDescent="0.4">
      <c r="A46" s="314" t="s">
        <v>130</v>
      </c>
      <c r="B46" s="278" t="s">
        <v>28</v>
      </c>
      <c r="C46" s="278" t="s">
        <v>150</v>
      </c>
      <c r="D46" s="278" t="s">
        <v>65</v>
      </c>
      <c r="E46" s="278" t="s">
        <v>150</v>
      </c>
      <c r="F46" s="279" t="s">
        <v>30</v>
      </c>
      <c r="G46" s="280" t="s">
        <v>150</v>
      </c>
      <c r="H46" s="224"/>
      <c r="I46" s="127"/>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4"/>
    </row>
    <row r="47" spans="1:33" x14ac:dyDescent="0.35">
      <c r="A47" s="328"/>
      <c r="B47" s="73"/>
      <c r="C47" s="73"/>
      <c r="D47" s="73"/>
      <c r="E47" s="73"/>
      <c r="F47" s="74"/>
      <c r="G47" s="283"/>
      <c r="H47" s="224"/>
      <c r="I47" s="218"/>
      <c r="J47" s="218"/>
      <c r="K47" s="218"/>
      <c r="L47" s="218"/>
      <c r="M47" s="218"/>
      <c r="N47" s="218"/>
    </row>
    <row r="48" spans="1:33" ht="30.75" customHeight="1" x14ac:dyDescent="0.35">
      <c r="A48" s="116" t="s">
        <v>1258</v>
      </c>
      <c r="B48" s="221">
        <v>2.1800000000000002</v>
      </c>
      <c r="C48" s="11" t="s">
        <v>373</v>
      </c>
      <c r="D48" s="31"/>
      <c r="E48" s="11"/>
      <c r="F48" s="114">
        <f>B48</f>
        <v>2.1800000000000002</v>
      </c>
      <c r="G48" s="303" t="s">
        <v>373</v>
      </c>
      <c r="H48" s="224"/>
      <c r="L48" s="219"/>
      <c r="M48" s="218"/>
      <c r="N48" s="218"/>
      <c r="O48" s="218"/>
    </row>
    <row r="49" spans="1:39" x14ac:dyDescent="0.35">
      <c r="A49" s="116"/>
      <c r="B49" s="221"/>
      <c r="C49" s="11"/>
      <c r="D49" s="220">
        <v>0</v>
      </c>
      <c r="E49" s="11" t="s">
        <v>616</v>
      </c>
      <c r="F49" s="113">
        <f>D49</f>
        <v>0</v>
      </c>
      <c r="G49" s="303" t="s">
        <v>616</v>
      </c>
      <c r="H49" s="224"/>
      <c r="L49" s="218"/>
      <c r="M49" s="218"/>
      <c r="N49" s="218"/>
      <c r="O49" s="218"/>
    </row>
    <row r="50" spans="1:39" ht="29" x14ac:dyDescent="0.35">
      <c r="A50" s="116"/>
      <c r="B50" s="5"/>
      <c r="C50" s="11"/>
      <c r="D50" s="220">
        <v>15</v>
      </c>
      <c r="E50" s="11" t="s">
        <v>617</v>
      </c>
      <c r="F50" s="113">
        <f>D50</f>
        <v>15</v>
      </c>
      <c r="G50" s="303" t="s">
        <v>617</v>
      </c>
      <c r="H50" s="224"/>
      <c r="I50" s="218"/>
      <c r="J50" s="218"/>
      <c r="K50" s="218"/>
      <c r="L50" s="218"/>
      <c r="M50" s="218"/>
      <c r="N50" s="218"/>
      <c r="O50" s="218"/>
    </row>
    <row r="51" spans="1:39" x14ac:dyDescent="0.35">
      <c r="A51" s="116" t="s">
        <v>1259</v>
      </c>
      <c r="B51" s="221">
        <v>2.1800000000000002</v>
      </c>
      <c r="C51" s="11" t="s">
        <v>373</v>
      </c>
      <c r="D51" s="31"/>
      <c r="E51" s="11"/>
      <c r="F51" s="114">
        <f t="shared" ref="F51:F57" si="9">B51</f>
        <v>2.1800000000000002</v>
      </c>
      <c r="G51" s="303" t="s">
        <v>373</v>
      </c>
      <c r="H51" s="224"/>
      <c r="I51" s="218"/>
      <c r="J51" s="218"/>
      <c r="K51" s="218"/>
      <c r="L51" s="218"/>
      <c r="M51" s="218"/>
      <c r="N51" s="218"/>
      <c r="O51" s="219"/>
      <c r="P51" s="12"/>
      <c r="Q51" s="12"/>
      <c r="R51" s="12"/>
      <c r="S51" s="12"/>
      <c r="T51" s="12"/>
      <c r="U51" s="12"/>
      <c r="V51" s="12"/>
      <c r="W51" s="12"/>
      <c r="X51" s="12"/>
      <c r="Y51" s="12"/>
      <c r="Z51" s="12"/>
      <c r="AA51" s="12"/>
      <c r="AB51" s="12"/>
      <c r="AC51" s="12"/>
      <c r="AD51" s="12"/>
      <c r="AE51" s="12"/>
      <c r="AF51" s="12"/>
      <c r="AG51" s="12"/>
      <c r="AH51" s="12"/>
      <c r="AI51" s="12"/>
      <c r="AJ51" s="12"/>
      <c r="AK51" s="12"/>
      <c r="AL51" s="12"/>
    </row>
    <row r="52" spans="1:39" x14ac:dyDescent="0.35">
      <c r="A52" s="329"/>
      <c r="B52" s="221"/>
      <c r="C52" s="11"/>
      <c r="D52" s="220">
        <v>0</v>
      </c>
      <c r="E52" s="11" t="s">
        <v>616</v>
      </c>
      <c r="F52" s="113">
        <f>D52</f>
        <v>0</v>
      </c>
      <c r="G52" s="303" t="s">
        <v>616</v>
      </c>
      <c r="H52" s="224"/>
      <c r="I52" s="219"/>
      <c r="J52" s="219"/>
      <c r="K52" s="219"/>
      <c r="L52" s="219"/>
      <c r="M52" s="219"/>
      <c r="N52" s="219"/>
      <c r="O52" s="218"/>
    </row>
    <row r="53" spans="1:39" ht="29" x14ac:dyDescent="0.35">
      <c r="A53" s="329"/>
      <c r="B53" s="5"/>
      <c r="C53" s="11"/>
      <c r="D53" s="220">
        <v>15</v>
      </c>
      <c r="E53" s="11" t="s">
        <v>617</v>
      </c>
      <c r="F53" s="113">
        <f>D53</f>
        <v>15</v>
      </c>
      <c r="G53" s="303" t="s">
        <v>617</v>
      </c>
      <c r="H53" s="224"/>
      <c r="L53" s="218"/>
      <c r="M53" s="218"/>
      <c r="N53" s="218"/>
      <c r="O53" s="218"/>
    </row>
    <row r="54" spans="1:39" ht="29" x14ac:dyDescent="0.35">
      <c r="A54" s="330" t="s">
        <v>1260</v>
      </c>
      <c r="B54" s="221">
        <v>2.1800000000000002</v>
      </c>
      <c r="C54" s="11" t="s">
        <v>373</v>
      </c>
      <c r="D54" s="31"/>
      <c r="E54" s="11"/>
      <c r="F54" s="114">
        <f t="shared" si="9"/>
        <v>2.1800000000000002</v>
      </c>
      <c r="G54" s="303" t="s">
        <v>373</v>
      </c>
      <c r="H54" s="224"/>
      <c r="O54" s="218"/>
    </row>
    <row r="55" spans="1:39" x14ac:dyDescent="0.35">
      <c r="A55" s="329"/>
      <c r="B55" s="221"/>
      <c r="C55" s="11"/>
      <c r="D55" s="220">
        <v>5</v>
      </c>
      <c r="E55" s="11" t="s">
        <v>616</v>
      </c>
      <c r="F55" s="113">
        <f>D55</f>
        <v>5</v>
      </c>
      <c r="G55" s="303" t="s">
        <v>616</v>
      </c>
      <c r="H55" s="217"/>
      <c r="O55" s="218"/>
      <c r="AM55" s="12"/>
    </row>
    <row r="56" spans="1:39" ht="29" x14ac:dyDescent="0.35">
      <c r="A56" s="329"/>
      <c r="B56" s="5"/>
      <c r="C56" s="11"/>
      <c r="D56" s="220">
        <v>15</v>
      </c>
      <c r="E56" s="11" t="s">
        <v>617</v>
      </c>
      <c r="F56" s="113">
        <f>D56</f>
        <v>15</v>
      </c>
      <c r="G56" s="303" t="s">
        <v>617</v>
      </c>
      <c r="H56" s="9"/>
      <c r="O56" s="218"/>
    </row>
    <row r="57" spans="1:39" x14ac:dyDescent="0.35">
      <c r="A57" s="116" t="s">
        <v>1261</v>
      </c>
      <c r="B57" s="221">
        <v>2.1800000000000002</v>
      </c>
      <c r="C57" s="11" t="s">
        <v>373</v>
      </c>
      <c r="D57" s="31"/>
      <c r="E57" s="11"/>
      <c r="F57" s="114">
        <f t="shared" si="9"/>
        <v>2.1800000000000002</v>
      </c>
      <c r="G57" s="303" t="s">
        <v>373</v>
      </c>
      <c r="H57" s="9"/>
    </row>
    <row r="58" spans="1:39" x14ac:dyDescent="0.35">
      <c r="A58" s="331"/>
      <c r="B58" s="221"/>
      <c r="C58" s="11"/>
      <c r="D58" s="220">
        <v>0</v>
      </c>
      <c r="E58" s="11" t="s">
        <v>616</v>
      </c>
      <c r="F58" s="113">
        <f>D58</f>
        <v>0</v>
      </c>
      <c r="G58" s="303" t="s">
        <v>616</v>
      </c>
      <c r="H58" s="8"/>
    </row>
    <row r="59" spans="1:39" ht="29.5" thickBot="1" x14ac:dyDescent="0.4">
      <c r="A59" s="332"/>
      <c r="B59" s="305"/>
      <c r="C59" s="306"/>
      <c r="D59" s="317">
        <v>15</v>
      </c>
      <c r="E59" s="306" t="s">
        <v>617</v>
      </c>
      <c r="F59" s="333">
        <f>D59</f>
        <v>15</v>
      </c>
      <c r="G59" s="290" t="s">
        <v>617</v>
      </c>
      <c r="H59" s="8"/>
    </row>
    <row r="60" spans="1:39" ht="15" thickBot="1" x14ac:dyDescent="0.4">
      <c r="A60" s="327"/>
      <c r="B60" s="319"/>
      <c r="C60" s="293"/>
      <c r="D60" s="293"/>
      <c r="E60" s="293"/>
      <c r="F60" s="293"/>
      <c r="G60" s="297"/>
      <c r="H60" s="9"/>
    </row>
    <row r="61" spans="1:39" x14ac:dyDescent="0.35">
      <c r="A61" s="314" t="s">
        <v>726</v>
      </c>
      <c r="B61" s="278" t="s">
        <v>28</v>
      </c>
      <c r="C61" s="278" t="s">
        <v>150</v>
      </c>
      <c r="D61" s="278" t="s">
        <v>65</v>
      </c>
      <c r="E61" s="278" t="s">
        <v>150</v>
      </c>
      <c r="F61" s="279" t="s">
        <v>30</v>
      </c>
      <c r="G61" s="280" t="s">
        <v>150</v>
      </c>
      <c r="H61" s="9"/>
    </row>
    <row r="62" spans="1:39" x14ac:dyDescent="0.35">
      <c r="A62" s="328"/>
      <c r="B62" s="73"/>
      <c r="C62" s="73"/>
      <c r="D62" s="73"/>
      <c r="E62" s="73"/>
      <c r="F62" s="74"/>
      <c r="G62" s="334"/>
      <c r="H62" s="9"/>
    </row>
    <row r="63" spans="1:39" x14ac:dyDescent="0.35">
      <c r="A63" s="281" t="s">
        <v>718</v>
      </c>
      <c r="B63" s="221">
        <v>104</v>
      </c>
      <c r="C63" s="11" t="s">
        <v>152</v>
      </c>
      <c r="D63" s="60"/>
      <c r="E63" s="11"/>
      <c r="F63" s="11"/>
      <c r="G63" s="283"/>
      <c r="H63" s="103"/>
    </row>
    <row r="64" spans="1:39" x14ac:dyDescent="0.35">
      <c r="A64" s="281" t="s">
        <v>719</v>
      </c>
      <c r="B64" s="5"/>
      <c r="C64" s="11"/>
      <c r="D64" s="220">
        <v>80</v>
      </c>
      <c r="E64" s="11" t="s">
        <v>151</v>
      </c>
      <c r="F64" s="112">
        <f>D64</f>
        <v>80</v>
      </c>
      <c r="G64" s="303" t="s">
        <v>151</v>
      </c>
      <c r="H64" s="8"/>
    </row>
    <row r="65" spans="1:8" ht="15" thickBot="1" x14ac:dyDescent="0.4">
      <c r="A65" s="304" t="s">
        <v>720</v>
      </c>
      <c r="B65" s="335"/>
      <c r="C65" s="306"/>
      <c r="D65" s="336"/>
      <c r="E65" s="306"/>
      <c r="F65" s="325">
        <f>D64*B63</f>
        <v>8320</v>
      </c>
      <c r="G65" s="290" t="s">
        <v>149</v>
      </c>
    </row>
    <row r="66" spans="1:8" ht="15" thickBot="1" x14ac:dyDescent="0.4">
      <c r="A66" s="308"/>
      <c r="B66" s="319"/>
      <c r="C66" s="293"/>
      <c r="D66" s="293"/>
      <c r="E66" s="293"/>
      <c r="F66" s="293"/>
      <c r="G66" s="297"/>
    </row>
    <row r="67" spans="1:8" x14ac:dyDescent="0.35">
      <c r="A67" s="277" t="s">
        <v>31</v>
      </c>
      <c r="B67" s="278" t="s">
        <v>28</v>
      </c>
      <c r="C67" s="278" t="s">
        <v>150</v>
      </c>
      <c r="D67" s="278" t="s">
        <v>65</v>
      </c>
      <c r="E67" s="337" t="s">
        <v>150</v>
      </c>
      <c r="F67" s="338" t="s">
        <v>30</v>
      </c>
      <c r="G67" s="280" t="s">
        <v>150</v>
      </c>
    </row>
    <row r="68" spans="1:8" x14ac:dyDescent="0.35">
      <c r="A68" s="300"/>
      <c r="B68" s="349"/>
      <c r="C68" s="349"/>
      <c r="D68" s="349"/>
      <c r="E68" s="350"/>
      <c r="F68" s="351"/>
      <c r="G68" s="365"/>
    </row>
    <row r="69" spans="1:8" ht="29" x14ac:dyDescent="0.35">
      <c r="A69" s="366" t="s">
        <v>721</v>
      </c>
      <c r="B69" s="352">
        <v>500</v>
      </c>
      <c r="C69" s="353" t="s">
        <v>379</v>
      </c>
      <c r="D69" s="354">
        <v>1</v>
      </c>
      <c r="E69" s="83" t="s">
        <v>117</v>
      </c>
      <c r="F69" s="355">
        <f>D69*B69</f>
        <v>500</v>
      </c>
      <c r="G69" s="367" t="s">
        <v>377</v>
      </c>
      <c r="H69" s="8"/>
    </row>
    <row r="70" spans="1:8" x14ac:dyDescent="0.35">
      <c r="A70" s="301" t="s">
        <v>389</v>
      </c>
      <c r="B70" s="356"/>
      <c r="C70" s="90"/>
      <c r="D70" s="357">
        <v>5000</v>
      </c>
      <c r="E70" s="358" t="s">
        <v>380</v>
      </c>
      <c r="F70" s="359">
        <f>D70*D69</f>
        <v>5000</v>
      </c>
      <c r="G70" s="367" t="s">
        <v>378</v>
      </c>
    </row>
    <row r="71" spans="1:8" x14ac:dyDescent="0.35">
      <c r="A71" s="301" t="s">
        <v>722</v>
      </c>
      <c r="B71" s="356"/>
      <c r="C71" s="90"/>
      <c r="D71" s="357">
        <v>6000</v>
      </c>
      <c r="E71" s="358" t="s">
        <v>46</v>
      </c>
      <c r="F71" s="359">
        <f>D71</f>
        <v>6000</v>
      </c>
      <c r="G71" s="367" t="s">
        <v>46</v>
      </c>
    </row>
    <row r="72" spans="1:8" ht="29" x14ac:dyDescent="0.35">
      <c r="A72" s="368" t="s">
        <v>390</v>
      </c>
      <c r="B72" s="360">
        <v>0.47</v>
      </c>
      <c r="C72" s="361" t="s">
        <v>44</v>
      </c>
      <c r="D72" s="362">
        <v>2000</v>
      </c>
      <c r="E72" s="363" t="s">
        <v>45</v>
      </c>
      <c r="F72" s="364">
        <f>D72*B72</f>
        <v>940</v>
      </c>
      <c r="G72" s="367" t="s">
        <v>631</v>
      </c>
    </row>
    <row r="73" spans="1:8" x14ac:dyDescent="0.35">
      <c r="A73" s="369" t="s">
        <v>42</v>
      </c>
      <c r="B73" s="360">
        <v>300</v>
      </c>
      <c r="C73" s="361" t="s">
        <v>10</v>
      </c>
      <c r="D73" s="362">
        <v>1</v>
      </c>
      <c r="E73" s="350" t="s">
        <v>117</v>
      </c>
      <c r="F73" s="364">
        <f>D73*B73</f>
        <v>300</v>
      </c>
      <c r="G73" s="370" t="s">
        <v>376</v>
      </c>
    </row>
    <row r="74" spans="1:8" x14ac:dyDescent="0.35">
      <c r="A74" s="369" t="s">
        <v>43</v>
      </c>
      <c r="B74" s="360">
        <v>100</v>
      </c>
      <c r="C74" s="361" t="s">
        <v>10</v>
      </c>
      <c r="D74" s="362">
        <v>1</v>
      </c>
      <c r="E74" s="350" t="s">
        <v>117</v>
      </c>
      <c r="F74" s="364">
        <f>D74*B74</f>
        <v>100</v>
      </c>
      <c r="G74" s="370" t="s">
        <v>376</v>
      </c>
    </row>
    <row r="75" spans="1:8" ht="15" thickBot="1" x14ac:dyDescent="0.4">
      <c r="A75" s="371" t="s">
        <v>47</v>
      </c>
      <c r="B75" s="372">
        <v>130</v>
      </c>
      <c r="C75" s="373" t="s">
        <v>10</v>
      </c>
      <c r="D75" s="374">
        <v>1</v>
      </c>
      <c r="E75" s="375" t="s">
        <v>117</v>
      </c>
      <c r="F75" s="376">
        <f>D75*B75</f>
        <v>130</v>
      </c>
      <c r="G75" s="377" t="s">
        <v>376</v>
      </c>
    </row>
    <row r="76" spans="1:8" x14ac:dyDescent="0.35">
      <c r="A76" s="308"/>
      <c r="B76" s="312"/>
      <c r="C76" s="255"/>
      <c r="D76" s="104"/>
      <c r="E76" s="252"/>
      <c r="F76" s="252"/>
      <c r="G76" s="251"/>
    </row>
    <row r="77" spans="1:8" x14ac:dyDescent="0.35">
      <c r="A77" s="246" t="s">
        <v>387</v>
      </c>
      <c r="B77" s="247"/>
      <c r="C77" s="248"/>
      <c r="D77" s="249"/>
      <c r="E77" s="249"/>
      <c r="F77" s="41"/>
      <c r="G77" s="251"/>
    </row>
    <row r="78" spans="1:8" x14ac:dyDescent="0.35">
      <c r="A78" s="2"/>
      <c r="B78" s="1"/>
      <c r="C78" s="65"/>
      <c r="D78" s="249"/>
      <c r="E78" s="249"/>
      <c r="F78" s="250"/>
      <c r="G78" s="222"/>
    </row>
    <row r="79" spans="1:8" x14ac:dyDescent="0.35">
      <c r="A79" s="2" t="s">
        <v>67</v>
      </c>
      <c r="B79" s="238">
        <v>600</v>
      </c>
      <c r="C79" s="65" t="s">
        <v>388</v>
      </c>
      <c r="D79" s="249"/>
      <c r="E79" s="249"/>
      <c r="F79" s="250"/>
      <c r="G79" s="222"/>
    </row>
    <row r="80" spans="1:8" x14ac:dyDescent="0.35">
      <c r="A80" s="2" t="s">
        <v>69</v>
      </c>
      <c r="B80" s="238">
        <v>300</v>
      </c>
      <c r="C80" s="65" t="s">
        <v>388</v>
      </c>
      <c r="D80" s="249"/>
      <c r="E80" s="249"/>
      <c r="F80" s="250"/>
      <c r="G80" s="222"/>
    </row>
    <row r="81" spans="1:7" x14ac:dyDescent="0.35">
      <c r="A81" s="2" t="s">
        <v>68</v>
      </c>
      <c r="B81" s="238">
        <v>100</v>
      </c>
      <c r="C81" s="65" t="s">
        <v>388</v>
      </c>
      <c r="D81" s="249"/>
      <c r="E81" s="249"/>
      <c r="F81" s="250"/>
      <c r="G81" s="222"/>
    </row>
    <row r="82" spans="1:7" x14ac:dyDescent="0.35">
      <c r="A82" s="2" t="s">
        <v>70</v>
      </c>
      <c r="B82" s="238">
        <v>80</v>
      </c>
      <c r="C82" s="65" t="s">
        <v>388</v>
      </c>
      <c r="D82" s="249"/>
      <c r="E82" s="249"/>
      <c r="F82" s="250"/>
      <c r="G82" s="222"/>
    </row>
    <row r="83" spans="1:7" x14ac:dyDescent="0.35">
      <c r="A83" s="2"/>
      <c r="B83" s="1"/>
      <c r="C83" s="65"/>
      <c r="D83" s="249"/>
      <c r="E83" s="249"/>
      <c r="F83" s="250"/>
      <c r="G83" s="222"/>
    </row>
    <row r="85" spans="1:7" x14ac:dyDescent="0.35">
      <c r="A85" s="57" t="s">
        <v>96</v>
      </c>
    </row>
    <row r="86" spans="1:7" x14ac:dyDescent="0.35">
      <c r="A86" s="63" t="s">
        <v>97</v>
      </c>
    </row>
    <row r="87" spans="1:7" x14ac:dyDescent="0.35">
      <c r="A87" s="63" t="s">
        <v>98</v>
      </c>
    </row>
    <row r="88" spans="1:7" x14ac:dyDescent="0.35">
      <c r="A88" s="63" t="s">
        <v>113</v>
      </c>
    </row>
    <row r="89" spans="1:7" x14ac:dyDescent="0.35">
      <c r="A89" s="63" t="s">
        <v>1244</v>
      </c>
    </row>
    <row r="90" spans="1:7" x14ac:dyDescent="0.35">
      <c r="A90" s="63" t="s">
        <v>1245</v>
      </c>
    </row>
    <row r="91" spans="1:7" ht="58" x14ac:dyDescent="0.35">
      <c r="A91" s="558" t="s">
        <v>1246</v>
      </c>
    </row>
    <row r="92" spans="1:7" ht="29" x14ac:dyDescent="0.35">
      <c r="A92" s="558" t="s">
        <v>1247</v>
      </c>
    </row>
    <row r="93" spans="1:7" ht="58" x14ac:dyDescent="0.35">
      <c r="A93" s="558" t="s">
        <v>1248</v>
      </c>
    </row>
    <row r="94" spans="1:7" ht="87" x14ac:dyDescent="0.35">
      <c r="A94" s="558" t="s">
        <v>1249</v>
      </c>
    </row>
    <row r="95" spans="1:7" ht="43.5" x14ac:dyDescent="0.35">
      <c r="A95" s="558" t="s">
        <v>1250</v>
      </c>
    </row>
    <row r="96" spans="1:7" ht="72.5" x14ac:dyDescent="0.35">
      <c r="A96" s="558" t="s">
        <v>1251</v>
      </c>
    </row>
    <row r="98" spans="1:1" ht="72.5" x14ac:dyDescent="0.35">
      <c r="A98" s="12" t="s">
        <v>881</v>
      </c>
    </row>
    <row r="99" spans="1:1" x14ac:dyDescent="0.35">
      <c r="A99"/>
    </row>
    <row r="100" spans="1:1" ht="101.5" x14ac:dyDescent="0.35">
      <c r="A100" s="12" t="s">
        <v>882</v>
      </c>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73"/>
  <sheetViews>
    <sheetView workbookViewId="0">
      <selection activeCell="A42" sqref="A42"/>
    </sheetView>
  </sheetViews>
  <sheetFormatPr defaultRowHeight="14.5" x14ac:dyDescent="0.35"/>
  <cols>
    <col min="1" max="1" width="60.6328125" customWidth="1"/>
    <col min="2" max="2" width="12.54296875" bestFit="1" customWidth="1"/>
    <col min="3" max="3" width="19.36328125" bestFit="1" customWidth="1"/>
    <col min="4" max="4" width="11" customWidth="1"/>
    <col min="5" max="5" width="26.08984375" customWidth="1"/>
    <col min="6" max="6" width="12.54296875" bestFit="1" customWidth="1"/>
    <col min="7" max="7" width="14.08984375" customWidth="1"/>
    <col min="8" max="8" width="10.90625" customWidth="1"/>
    <col min="9" max="9" width="9.08984375" customWidth="1"/>
    <col min="10" max="10" width="49.453125" customWidth="1"/>
    <col min="11" max="11" width="18.90625" customWidth="1"/>
    <col min="12" max="12" width="16.08984375" customWidth="1"/>
    <col min="13" max="14" width="9.08984375" customWidth="1"/>
    <col min="15" max="15" width="51.08984375" customWidth="1"/>
    <col min="16" max="16" width="18.453125" customWidth="1"/>
    <col min="17" max="17" width="9.08984375" customWidth="1"/>
    <col min="18" max="18" width="50.453125" customWidth="1"/>
    <col min="19" max="19" width="18.08984375" customWidth="1"/>
    <col min="20" max="20" width="23.6328125" customWidth="1"/>
    <col min="21" max="21" width="26.453125" customWidth="1"/>
    <col min="22" max="22" width="19.36328125" customWidth="1"/>
    <col min="23" max="23" width="16.36328125" customWidth="1"/>
    <col min="24" max="24" width="20.08984375" customWidth="1"/>
    <col min="25" max="25" width="9" customWidth="1"/>
    <col min="26" max="26" width="40.6328125" customWidth="1"/>
    <col min="27" max="27" width="23.08984375" customWidth="1"/>
    <col min="28" max="28" width="19.54296875" customWidth="1"/>
    <col min="29" max="29" width="18.08984375" customWidth="1"/>
    <col min="30" max="30" width="17.453125" customWidth="1"/>
    <col min="31" max="31" width="9.54296875" customWidth="1"/>
    <col min="32" max="32" width="40.36328125" customWidth="1"/>
    <col min="33" max="33" width="19.90625" customWidth="1"/>
    <col min="34" max="34" width="16" bestFit="1" customWidth="1"/>
    <col min="35" max="35" width="18" customWidth="1"/>
  </cols>
  <sheetData>
    <row r="1" spans="1:30" ht="21.5" thickBot="1" x14ac:dyDescent="0.55000000000000004">
      <c r="A1" s="70" t="s">
        <v>370</v>
      </c>
    </row>
    <row r="3" spans="1:30" x14ac:dyDescent="0.35">
      <c r="A3" t="s">
        <v>1085</v>
      </c>
    </row>
    <row r="4" spans="1:30" x14ac:dyDescent="0.35">
      <c r="A4" t="s">
        <v>1254</v>
      </c>
    </row>
    <row r="5" spans="1:30" ht="15" thickBot="1" x14ac:dyDescent="0.4"/>
    <row r="6" spans="1:30" x14ac:dyDescent="0.35">
      <c r="A6" s="277" t="s">
        <v>3</v>
      </c>
      <c r="B6" s="278" t="s">
        <v>28</v>
      </c>
      <c r="C6" s="278" t="s">
        <v>150</v>
      </c>
      <c r="D6" s="278" t="s">
        <v>65</v>
      </c>
      <c r="E6" s="278" t="s">
        <v>150</v>
      </c>
      <c r="F6" s="279" t="s">
        <v>30</v>
      </c>
      <c r="G6" s="280" t="s">
        <v>150</v>
      </c>
      <c r="H6" s="8"/>
    </row>
    <row r="7" spans="1:30" x14ac:dyDescent="0.35">
      <c r="A7" s="281"/>
      <c r="B7" s="1"/>
      <c r="C7" s="11"/>
      <c r="D7" s="65"/>
      <c r="E7" s="15"/>
      <c r="F7" s="28"/>
      <c r="G7" s="283"/>
      <c r="H7" s="8"/>
      <c r="I7" s="232"/>
      <c r="J7" t="s">
        <v>34</v>
      </c>
    </row>
    <row r="8" spans="1:30" x14ac:dyDescent="0.35">
      <c r="A8" s="298" t="s">
        <v>94</v>
      </c>
      <c r="B8" s="221">
        <v>11.87</v>
      </c>
      <c r="C8" s="11" t="s">
        <v>155</v>
      </c>
      <c r="D8" s="230">
        <v>5</v>
      </c>
      <c r="E8" s="65" t="s">
        <v>116</v>
      </c>
      <c r="F8" s="28">
        <f t="shared" ref="F8:F13" si="0">D8*B8*$D$14</f>
        <v>712.19999999999993</v>
      </c>
      <c r="G8" s="283" t="s">
        <v>149</v>
      </c>
      <c r="H8" s="8"/>
      <c r="L8" s="58"/>
      <c r="N8" s="59"/>
      <c r="O8" s="6"/>
    </row>
    <row r="9" spans="1:30" x14ac:dyDescent="0.35">
      <c r="A9" s="298" t="s">
        <v>6</v>
      </c>
      <c r="B9" s="221">
        <v>17.510000000000002</v>
      </c>
      <c r="C9" s="11" t="s">
        <v>155</v>
      </c>
      <c r="D9" s="230">
        <v>1</v>
      </c>
      <c r="E9" s="65" t="s">
        <v>116</v>
      </c>
      <c r="F9" s="28">
        <f t="shared" si="0"/>
        <v>210.12</v>
      </c>
      <c r="G9" s="283" t="s">
        <v>149</v>
      </c>
      <c r="H9" s="8"/>
      <c r="I9" s="25"/>
      <c r="J9" t="s">
        <v>713</v>
      </c>
      <c r="L9" s="58"/>
      <c r="N9" s="59"/>
      <c r="O9" s="6"/>
    </row>
    <row r="10" spans="1:30" x14ac:dyDescent="0.35">
      <c r="A10" s="299" t="s">
        <v>93</v>
      </c>
      <c r="B10" s="221">
        <v>21.62</v>
      </c>
      <c r="C10" s="11" t="s">
        <v>155</v>
      </c>
      <c r="D10" s="230">
        <v>1</v>
      </c>
      <c r="E10" s="65" t="s">
        <v>116</v>
      </c>
      <c r="F10" s="28">
        <f t="shared" si="0"/>
        <v>259.44</v>
      </c>
      <c r="G10" s="283" t="s">
        <v>149</v>
      </c>
      <c r="H10" s="8"/>
      <c r="L10" s="58"/>
      <c r="N10" s="59"/>
      <c r="O10" s="6"/>
    </row>
    <row r="11" spans="1:30" x14ac:dyDescent="0.35">
      <c r="A11" s="299" t="s">
        <v>154</v>
      </c>
      <c r="B11" s="221">
        <v>19.829999999999998</v>
      </c>
      <c r="C11" s="11" t="s">
        <v>155</v>
      </c>
      <c r="D11" s="230">
        <v>0</v>
      </c>
      <c r="E11" s="65" t="s">
        <v>116</v>
      </c>
      <c r="F11" s="28">
        <f t="shared" si="0"/>
        <v>0</v>
      </c>
      <c r="G11" s="283" t="s">
        <v>149</v>
      </c>
      <c r="H11" s="8"/>
      <c r="I11" s="195"/>
      <c r="J11" t="s">
        <v>66</v>
      </c>
      <c r="L11" s="58"/>
      <c r="N11" s="59"/>
      <c r="O11" s="6"/>
    </row>
    <row r="12" spans="1:30" ht="15" thickBot="1" x14ac:dyDescent="0.4">
      <c r="A12" s="299" t="s">
        <v>153</v>
      </c>
      <c r="B12" s="221">
        <v>19.88</v>
      </c>
      <c r="C12" s="11" t="s">
        <v>155</v>
      </c>
      <c r="D12" s="230">
        <v>2</v>
      </c>
      <c r="E12" s="65" t="s">
        <v>116</v>
      </c>
      <c r="F12" s="28">
        <f t="shared" si="0"/>
        <v>477.12</v>
      </c>
      <c r="G12" s="283" t="s">
        <v>149</v>
      </c>
      <c r="H12" s="8"/>
      <c r="L12" s="58"/>
      <c r="N12" s="59"/>
      <c r="O12" s="6"/>
    </row>
    <row r="13" spans="1:30" x14ac:dyDescent="0.35">
      <c r="A13" s="299" t="s">
        <v>95</v>
      </c>
      <c r="B13" s="221">
        <v>19.760000000000002</v>
      </c>
      <c r="C13" s="11" t="s">
        <v>155</v>
      </c>
      <c r="D13" s="230">
        <v>2</v>
      </c>
      <c r="E13" s="65" t="s">
        <v>116</v>
      </c>
      <c r="F13" s="28">
        <f t="shared" si="0"/>
        <v>474.24</v>
      </c>
      <c r="G13" s="283" t="s">
        <v>149</v>
      </c>
      <c r="H13" s="8"/>
      <c r="I13" s="137"/>
      <c r="J13" s="131"/>
      <c r="K13" s="131"/>
      <c r="L13" s="131"/>
      <c r="M13" s="131"/>
      <c r="N13" s="131"/>
      <c r="O13" s="131"/>
      <c r="P13" s="131"/>
      <c r="Q13" s="131"/>
      <c r="R13" s="131"/>
      <c r="S13" s="131"/>
      <c r="T13" s="131"/>
      <c r="U13" s="131"/>
      <c r="V13" s="131"/>
      <c r="W13" s="131"/>
      <c r="X13" s="131"/>
      <c r="Y13" s="131"/>
      <c r="Z13" s="131"/>
      <c r="AA13" s="131"/>
      <c r="AB13" s="131"/>
      <c r="AC13" s="131"/>
      <c r="AD13" s="132"/>
    </row>
    <row r="14" spans="1:30" ht="29" x14ac:dyDescent="0.35">
      <c r="A14" s="301" t="s">
        <v>132</v>
      </c>
      <c r="B14" s="5"/>
      <c r="C14" s="11"/>
      <c r="D14" s="230">
        <v>12</v>
      </c>
      <c r="E14" s="65" t="s">
        <v>118</v>
      </c>
      <c r="F14" s="113">
        <f>D14</f>
        <v>12</v>
      </c>
      <c r="G14" s="302" t="s">
        <v>118</v>
      </c>
      <c r="H14" s="8"/>
      <c r="I14" s="124" t="s">
        <v>711</v>
      </c>
      <c r="J14" s="8"/>
      <c r="K14" s="8"/>
      <c r="L14" s="8"/>
      <c r="M14" s="8"/>
      <c r="N14" s="8"/>
      <c r="O14" s="8"/>
      <c r="P14" s="8"/>
      <c r="Q14" s="8"/>
      <c r="R14" s="8"/>
      <c r="S14" s="8"/>
      <c r="T14" s="8"/>
      <c r="U14" s="8"/>
      <c r="V14" s="8"/>
      <c r="W14" s="8"/>
      <c r="X14" s="8"/>
      <c r="Y14" s="8"/>
      <c r="Z14" s="8"/>
      <c r="AA14" s="8"/>
      <c r="AB14" s="8"/>
      <c r="AC14" s="8"/>
      <c r="AD14" s="126"/>
    </row>
    <row r="15" spans="1:30" x14ac:dyDescent="0.35">
      <c r="A15" s="301" t="s">
        <v>162</v>
      </c>
      <c r="B15" s="221">
        <v>123</v>
      </c>
      <c r="C15" s="11" t="s">
        <v>157</v>
      </c>
      <c r="D15" s="230">
        <f>SUM(D8:D13)</f>
        <v>11</v>
      </c>
      <c r="E15" s="65" t="s">
        <v>116</v>
      </c>
      <c r="F15" s="30">
        <f>D15*B15</f>
        <v>1353</v>
      </c>
      <c r="G15" s="303" t="s">
        <v>149</v>
      </c>
      <c r="H15" s="8"/>
      <c r="I15" s="124"/>
      <c r="J15" s="8"/>
      <c r="K15" s="8"/>
      <c r="L15" s="8"/>
      <c r="M15" s="8"/>
      <c r="N15" s="8"/>
      <c r="O15" s="8"/>
      <c r="P15" s="8"/>
      <c r="Q15" s="8"/>
      <c r="R15" s="8"/>
      <c r="S15" s="8"/>
      <c r="T15" s="8"/>
      <c r="U15" s="8"/>
      <c r="V15" s="8"/>
      <c r="W15" s="8"/>
      <c r="X15" s="8"/>
      <c r="Y15" s="8"/>
      <c r="Z15" s="8"/>
      <c r="AA15" s="8"/>
      <c r="AB15" s="8"/>
      <c r="AC15" s="8"/>
      <c r="AD15" s="126"/>
    </row>
    <row r="16" spans="1:30" ht="15.5" x14ac:dyDescent="0.35">
      <c r="A16" s="281"/>
      <c r="B16" s="5"/>
      <c r="C16" s="11"/>
      <c r="D16" s="61"/>
      <c r="E16" s="15"/>
      <c r="F16" s="28"/>
      <c r="G16" s="283"/>
      <c r="H16" s="8"/>
      <c r="I16" s="233">
        <v>5</v>
      </c>
      <c r="J16" s="226" t="s">
        <v>659</v>
      </c>
      <c r="K16" s="8"/>
      <c r="L16" s="8"/>
      <c r="M16" s="8"/>
      <c r="N16" s="8"/>
      <c r="O16" s="8"/>
      <c r="P16" s="8"/>
      <c r="Q16" s="8"/>
      <c r="R16" s="8"/>
      <c r="S16" s="8"/>
      <c r="T16" s="8"/>
      <c r="U16" s="8"/>
      <c r="V16" s="8"/>
      <c r="W16" s="8"/>
      <c r="X16" s="8"/>
      <c r="Y16" s="8"/>
      <c r="Z16" s="8"/>
      <c r="AA16" s="8"/>
      <c r="AB16" s="8"/>
      <c r="AC16" s="8"/>
      <c r="AD16" s="126"/>
    </row>
    <row r="17" spans="1:30" ht="16" thickBot="1" x14ac:dyDescent="0.4">
      <c r="A17" s="304" t="s">
        <v>8</v>
      </c>
      <c r="B17" s="305"/>
      <c r="C17" s="306"/>
      <c r="D17" s="286"/>
      <c r="E17" s="307"/>
      <c r="F17" s="289">
        <f>SUM(F8:F15)</f>
        <v>3498.12</v>
      </c>
      <c r="G17" s="290" t="s">
        <v>149</v>
      </c>
      <c r="H17" s="8"/>
      <c r="I17" s="245"/>
      <c r="J17" s="175"/>
      <c r="K17" s="8"/>
      <c r="L17" s="8"/>
      <c r="M17" s="8"/>
      <c r="N17" s="8"/>
      <c r="O17" s="8"/>
      <c r="P17" s="8"/>
      <c r="Q17" s="8"/>
      <c r="R17" s="8"/>
      <c r="S17" s="8"/>
      <c r="T17" s="8"/>
      <c r="U17" s="8"/>
      <c r="V17" s="8"/>
      <c r="W17" s="8"/>
      <c r="X17" s="8"/>
      <c r="Y17" s="8"/>
      <c r="Z17" s="8"/>
      <c r="AA17" s="8"/>
      <c r="AB17" s="8"/>
      <c r="AC17" s="8"/>
      <c r="AD17" s="126"/>
    </row>
    <row r="18" spans="1:30" ht="15" thickBot="1" x14ac:dyDescent="0.4">
      <c r="A18" s="291"/>
      <c r="B18" s="292"/>
      <c r="C18" s="293"/>
      <c r="D18" s="294"/>
      <c r="E18" s="295"/>
      <c r="F18" s="296"/>
      <c r="G18" s="297"/>
      <c r="H18" s="8"/>
      <c r="I18" s="124" t="s">
        <v>712</v>
      </c>
      <c r="J18" s="8"/>
      <c r="K18" s="8"/>
      <c r="L18" s="8"/>
      <c r="M18" s="8"/>
      <c r="N18" s="8"/>
      <c r="O18" s="8"/>
      <c r="P18" s="8"/>
      <c r="Q18" s="8"/>
      <c r="R18" s="8"/>
      <c r="S18" s="8"/>
      <c r="T18" s="8"/>
      <c r="U18" s="8"/>
      <c r="V18" s="8"/>
      <c r="W18" s="8"/>
      <c r="X18" s="8"/>
      <c r="Y18" s="8"/>
      <c r="Z18" s="8"/>
      <c r="AA18" s="8"/>
      <c r="AB18" s="8"/>
      <c r="AC18" s="8"/>
      <c r="AD18" s="126"/>
    </row>
    <row r="19" spans="1:30" x14ac:dyDescent="0.35">
      <c r="A19" s="277" t="s">
        <v>601</v>
      </c>
      <c r="B19" s="278" t="s">
        <v>28</v>
      </c>
      <c r="C19" s="278" t="s">
        <v>150</v>
      </c>
      <c r="D19" s="278" t="s">
        <v>65</v>
      </c>
      <c r="E19" s="278" t="s">
        <v>150</v>
      </c>
      <c r="F19" s="279" t="s">
        <v>30</v>
      </c>
      <c r="G19" s="280" t="s">
        <v>150</v>
      </c>
      <c r="H19" s="215"/>
      <c r="I19" s="124" t="s">
        <v>415</v>
      </c>
      <c r="J19" s="8"/>
      <c r="K19" s="8"/>
      <c r="L19" s="8"/>
      <c r="M19" s="8"/>
      <c r="N19" s="8"/>
      <c r="O19" s="8"/>
      <c r="P19" s="8"/>
      <c r="Q19" s="8"/>
      <c r="R19" s="8"/>
      <c r="S19" s="8"/>
      <c r="T19" s="8"/>
      <c r="U19" s="8"/>
      <c r="V19" s="8"/>
      <c r="W19" s="8"/>
      <c r="X19" s="8"/>
      <c r="Y19" s="8"/>
      <c r="Z19" s="8"/>
      <c r="AA19" s="8"/>
      <c r="AB19" s="8"/>
      <c r="AC19" s="8"/>
      <c r="AD19" s="126"/>
    </row>
    <row r="20" spans="1:30" x14ac:dyDescent="0.35">
      <c r="A20" s="281"/>
      <c r="B20" s="282"/>
      <c r="C20" s="60"/>
      <c r="D20" s="61"/>
      <c r="E20" s="72"/>
      <c r="F20" s="75"/>
      <c r="G20" s="283"/>
      <c r="H20" s="8"/>
      <c r="I20" s="124"/>
      <c r="J20" s="8"/>
      <c r="K20" s="8"/>
      <c r="L20" s="8"/>
      <c r="M20" s="8"/>
      <c r="N20" s="8"/>
      <c r="O20" s="8"/>
      <c r="P20" s="8"/>
      <c r="Q20" s="8"/>
      <c r="R20" s="8"/>
      <c r="S20" s="8"/>
      <c r="T20" s="8"/>
      <c r="U20" s="8"/>
      <c r="V20" s="8"/>
      <c r="W20" s="8"/>
      <c r="X20" s="8"/>
      <c r="Y20" s="8"/>
      <c r="Z20" s="8"/>
      <c r="AA20" s="8"/>
      <c r="AB20" s="8"/>
      <c r="AC20" s="8"/>
      <c r="AD20" s="126"/>
    </row>
    <row r="21" spans="1:30" ht="15" thickBot="1" x14ac:dyDescent="0.4">
      <c r="A21" s="542" t="s">
        <v>11</v>
      </c>
      <c r="B21" s="535">
        <v>10.25</v>
      </c>
      <c r="C21" s="273" t="s">
        <v>120</v>
      </c>
      <c r="D21" s="543">
        <f>SUM(D8:D13)</f>
        <v>11</v>
      </c>
      <c r="E21" s="544" t="s">
        <v>156</v>
      </c>
      <c r="F21" s="562">
        <f>D21*B21</f>
        <v>112.75</v>
      </c>
      <c r="G21" s="538" t="s">
        <v>149</v>
      </c>
      <c r="H21" s="8"/>
      <c r="I21" s="124"/>
      <c r="J21" s="8"/>
      <c r="K21" s="211" t="s">
        <v>559</v>
      </c>
      <c r="L21" s="211" t="s">
        <v>660</v>
      </c>
      <c r="M21" s="8"/>
      <c r="N21" s="8"/>
      <c r="O21" s="8"/>
      <c r="P21" s="214"/>
      <c r="Q21" s="8"/>
      <c r="R21" s="8"/>
      <c r="S21" s="211" t="s">
        <v>475</v>
      </c>
      <c r="T21" s="211" t="s">
        <v>600</v>
      </c>
      <c r="U21" s="211" t="s">
        <v>474</v>
      </c>
      <c r="V21" s="211" t="s">
        <v>660</v>
      </c>
      <c r="W21" s="211" t="s">
        <v>468</v>
      </c>
      <c r="X21" s="211" t="s">
        <v>30</v>
      </c>
      <c r="Y21" s="8"/>
      <c r="Z21" s="211" t="s">
        <v>472</v>
      </c>
      <c r="AA21" s="211" t="s">
        <v>473</v>
      </c>
      <c r="AB21" s="211" t="s">
        <v>480</v>
      </c>
      <c r="AC21" s="211" t="s">
        <v>75</v>
      </c>
      <c r="AD21" s="126"/>
    </row>
    <row r="22" spans="1:30" x14ac:dyDescent="0.35">
      <c r="A22" s="25" t="s">
        <v>1207</v>
      </c>
      <c r="B22" s="221"/>
      <c r="C22" s="65"/>
      <c r="D22" s="230"/>
      <c r="E22" s="60"/>
      <c r="F22" s="115"/>
      <c r="G22" s="567" t="s">
        <v>1192</v>
      </c>
      <c r="I22" s="124"/>
      <c r="J22" s="269" t="s">
        <v>663</v>
      </c>
      <c r="K22" s="196">
        <f>IF($D$28&gt;0,((GIS_inputs!C50*B62/2000)/$F$29),((GIS_inputs!C50*B62/2000)/$F$27))</f>
        <v>243.75</v>
      </c>
      <c r="L22" s="196">
        <f>(((GIS_inputs!C50)*B62/2000)/$F$50)</f>
        <v>1950</v>
      </c>
      <c r="M22" s="123" t="s">
        <v>432</v>
      </c>
      <c r="N22" s="8"/>
      <c r="O22" s="176" t="s">
        <v>675</v>
      </c>
      <c r="P22" s="199">
        <f>IF(L22&gt;K22,($F$15*$I$16*L22),($F$15*$I$16*K22))</f>
        <v>13191750</v>
      </c>
      <c r="Q22" s="8"/>
      <c r="R22" s="176" t="s">
        <v>687</v>
      </c>
      <c r="S22" s="206">
        <f>IF(L22&gt;K22,($I$16*$F$21*L22),($I$16*$F$21*K22))</f>
        <v>1099312.5</v>
      </c>
      <c r="T22" s="519">
        <f>(($B$62*GIS_inputs!C50)/2000)*($F$43+$F$44)</f>
        <v>234000</v>
      </c>
      <c r="U22" s="519">
        <f>IF(L22&gt;K22,((($F$30+$F$26+$F$28+($I$16*$F$38))*(Q48/$Q$63))+($F$39*L22)),((($F$30+$F$26+$F$28+($I$16*$F$38))*(Q48/$Q$63))+($F$39*K22)))</f>
        <v>2976107.1428571427</v>
      </c>
      <c r="V22" s="519">
        <f>$F$51*L22</f>
        <v>35100000</v>
      </c>
      <c r="W22" s="519">
        <f>IF(L22&gt;K22,((($Q$51*$I$16)*L22)+(($F$56+$F$57+$F$58)*$I$16*(Q48/$Q$63))),((($Q$51*$I$16)*K22)+(($F$56+$F$57+$F$58)*$I$16*(Q48/$Q$63))))</f>
        <v>1135.7142857142856</v>
      </c>
      <c r="X22" s="520">
        <f>SUM(S22:W22)</f>
        <v>39410555.357142858</v>
      </c>
      <c r="Y22" s="8"/>
      <c r="Z22" s="176" t="s">
        <v>699</v>
      </c>
      <c r="AA22" s="527">
        <f>P22</f>
        <v>13191750</v>
      </c>
      <c r="AB22" s="527">
        <f>X22</f>
        <v>39410555.357142858</v>
      </c>
      <c r="AC22" s="520">
        <f>AA22+AB22</f>
        <v>52602305.357142858</v>
      </c>
      <c r="AD22" s="126"/>
    </row>
    <row r="23" spans="1:30" x14ac:dyDescent="0.35">
      <c r="A23" s="48"/>
      <c r="B23" s="71"/>
      <c r="C23" s="60"/>
      <c r="D23" s="61"/>
      <c r="E23" s="65"/>
      <c r="F23" s="28"/>
      <c r="G23" s="102"/>
      <c r="H23" s="8"/>
      <c r="I23" s="124"/>
      <c r="J23" s="270" t="s">
        <v>664</v>
      </c>
      <c r="K23" s="197">
        <f>IF($D$28&gt;0,((GIS_inputs!C51*B63/2000)/$F$29),((GIS_inputs!C51*B63/2000)/$F$27))</f>
        <v>0</v>
      </c>
      <c r="L23" s="197">
        <f>(((GIS_inputs!C51)*B63/2000)/$F$50)</f>
        <v>0</v>
      </c>
      <c r="M23" s="125" t="s">
        <v>432</v>
      </c>
      <c r="N23" s="8"/>
      <c r="O23" s="177" t="s">
        <v>676</v>
      </c>
      <c r="P23" s="200">
        <f>IF(L23&gt;K23,($F$15*$I$16*L23),($F$15*$I$16*K23))</f>
        <v>0</v>
      </c>
      <c r="Q23" s="8"/>
      <c r="R23" s="177" t="s">
        <v>688</v>
      </c>
      <c r="S23" s="202">
        <f>IF(L23&gt;K23,($I$16*$F$21*L23),($I$16*$F$21*K23))</f>
        <v>0</v>
      </c>
      <c r="T23" s="203">
        <f>(($B$62*GIS_inputs!C51)/2000)*($F$43+$F$44)</f>
        <v>0</v>
      </c>
      <c r="U23" s="204">
        <f>IF(L23&gt;K23,((($F$30+$F$26+$F$28+($I$16*$F$38))*(Q49/$Q$63))+($F$39*L23)),((($F$30+$F$26+$F$28+($I$16*$F$38))*(Q49/$Q$63))+($F$39*K23)))</f>
        <v>0</v>
      </c>
      <c r="V23" s="204">
        <f t="shared" ref="V23:V25" si="1">$F$51*L23</f>
        <v>0</v>
      </c>
      <c r="W23" s="204">
        <f>IF(L23&gt;K23,((($Q$51*$I$16)*L23)+(($F$56+$F$57+$F$58)*$I$16*(Q49/$Q$63))),((($Q$51*$I$16)*K23)+(($F$56+$F$57+$F$58)*$I$16*(Q49/$Q$63))))</f>
        <v>0</v>
      </c>
      <c r="X23" s="521">
        <f>SUM(S23:W23)</f>
        <v>0</v>
      </c>
      <c r="Y23" s="8"/>
      <c r="Z23" s="177" t="s">
        <v>700</v>
      </c>
      <c r="AA23" s="205">
        <f>P23</f>
        <v>0</v>
      </c>
      <c r="AB23" s="205">
        <f>X23</f>
        <v>0</v>
      </c>
      <c r="AC23" s="521">
        <f>AA23+AB23</f>
        <v>0</v>
      </c>
      <c r="AD23" s="126"/>
    </row>
    <row r="24" spans="1:30" x14ac:dyDescent="0.35">
      <c r="A24" s="563" t="s">
        <v>20</v>
      </c>
      <c r="B24" s="564" t="s">
        <v>28</v>
      </c>
      <c r="C24" s="564" t="s">
        <v>150</v>
      </c>
      <c r="D24" s="564" t="s">
        <v>65</v>
      </c>
      <c r="E24" s="564" t="s">
        <v>150</v>
      </c>
      <c r="F24" s="565" t="s">
        <v>30</v>
      </c>
      <c r="G24" s="566" t="s">
        <v>150</v>
      </c>
      <c r="H24" s="8"/>
      <c r="I24" s="124"/>
      <c r="J24" s="270" t="s">
        <v>665</v>
      </c>
      <c r="K24" s="197">
        <f>IF($D$28&gt;0,((GIS_inputs!C52*B64/2000)/$F$29),((GIS_inputs!C52*B64/2000)/$F$27))</f>
        <v>0</v>
      </c>
      <c r="L24" s="197">
        <f>(((GIS_inputs!C52)*B64/2000)/$F$50)</f>
        <v>0</v>
      </c>
      <c r="M24" s="125" t="s">
        <v>432</v>
      </c>
      <c r="N24" s="8"/>
      <c r="O24" s="177" t="s">
        <v>677</v>
      </c>
      <c r="P24" s="200">
        <f>IF(L24&gt;K24,($F$15*$I$16*L24),($F$15*$I$16*K24))</f>
        <v>0</v>
      </c>
      <c r="Q24" s="8"/>
      <c r="R24" s="177" t="s">
        <v>689</v>
      </c>
      <c r="S24" s="202">
        <f>IF(L24&gt;K24,($I$16*$F$21*L24),($I$16*$F$21*K24))</f>
        <v>0</v>
      </c>
      <c r="T24" s="203">
        <f>(($B$62*GIS_inputs!C52)/2000)*($F$43+$F$44)</f>
        <v>0</v>
      </c>
      <c r="U24" s="204">
        <f>IF(L24&gt;K24,((($F$30+$F$26+$F$28+($I$16*$F$38))*(Q50/$Q$63))+($F$39*L24)),((($F$30+$F$26+$F$28+($I$16*$F$38))*(Q50/$Q$63))+($F$39*K24)))</f>
        <v>0</v>
      </c>
      <c r="V24" s="204">
        <f t="shared" si="1"/>
        <v>0</v>
      </c>
      <c r="W24" s="204">
        <f>IF(L24&gt;K24,((($Q$51*$I$16)*L24)+(($F$56+$F$57+$F$58)*$I$16*(Q50/$Q$63))),((($Q$51*$I$16)*K24)+(($F$56+$F$57+$F$58)*$I$16*(Q50/$Q$63))))</f>
        <v>0</v>
      </c>
      <c r="X24" s="521">
        <f>SUM(S24:W24)</f>
        <v>0</v>
      </c>
      <c r="Y24" s="8"/>
      <c r="Z24" s="177" t="s">
        <v>701</v>
      </c>
      <c r="AA24" s="205">
        <f>P24</f>
        <v>0</v>
      </c>
      <c r="AB24" s="205">
        <f>X24</f>
        <v>0</v>
      </c>
      <c r="AC24" s="521">
        <f>AA24+AB24</f>
        <v>0</v>
      </c>
      <c r="AD24" s="126"/>
    </row>
    <row r="25" spans="1:30" x14ac:dyDescent="0.35">
      <c r="A25" s="315"/>
      <c r="B25" s="4"/>
      <c r="C25" s="11"/>
      <c r="D25" s="31"/>
      <c r="E25" s="11"/>
      <c r="F25" s="11"/>
      <c r="G25" s="283"/>
      <c r="H25" s="8"/>
      <c r="I25" s="124"/>
      <c r="J25" s="270" t="s">
        <v>666</v>
      </c>
      <c r="K25" s="197">
        <f>IF($D$28&gt;0,((GIS_inputs!C53*B65/2000)/$F$29),((GIS_inputs!C53*B65/2000)/$F$27))</f>
        <v>0</v>
      </c>
      <c r="L25" s="197">
        <f>(((GIS_inputs!C53)*B65/2000)/$F$50)</f>
        <v>0</v>
      </c>
      <c r="M25" s="125" t="s">
        <v>432</v>
      </c>
      <c r="N25" s="8"/>
      <c r="O25" s="177" t="s">
        <v>678</v>
      </c>
      <c r="P25" s="200">
        <f>IF(L25&gt;K25,($F$15*$I$16*L25),($F$15*$I$16*K25))</f>
        <v>0</v>
      </c>
      <c r="Q25" s="8"/>
      <c r="R25" s="177" t="s">
        <v>690</v>
      </c>
      <c r="S25" s="202">
        <f>IF(L25&gt;K25,($I$16*$F$21*L25),($I$16*$F$21*K25))</f>
        <v>0</v>
      </c>
      <c r="T25" s="203">
        <f>(($B$62*GIS_inputs!C53)/2000)*($F$43+$F$44)</f>
        <v>0</v>
      </c>
      <c r="U25" s="204">
        <f>IF(L25&gt;K25,((($F$30+$F$26+$F$28+($I$16*$F$38))*(Q51/$Q$63))+($F$39*L25)),((($F$30+$F$26+$F$28+($I$16*$F$38))*(Q51/$Q$63))+($F$39*K25)))</f>
        <v>0</v>
      </c>
      <c r="V25" s="204">
        <f t="shared" si="1"/>
        <v>0</v>
      </c>
      <c r="W25" s="204">
        <f>IF(L25&gt;K25,((($Q$51*$I$16)*L25)+(($F$56+$F$57+$F$58)*$I$16*(Q51/$Q$63))),((($Q$51*$I$16)*K25)+(($F$56+$F$57+$F$58)*$I$16*(Q51/$Q$63))))</f>
        <v>0</v>
      </c>
      <c r="X25" s="521">
        <f>SUM(S25:W25)</f>
        <v>0</v>
      </c>
      <c r="Y25" s="8"/>
      <c r="Z25" s="177" t="s">
        <v>702</v>
      </c>
      <c r="AA25" s="205">
        <f>P25</f>
        <v>0</v>
      </c>
      <c r="AB25" s="205">
        <f>X25</f>
        <v>0</v>
      </c>
      <c r="AC25" s="521">
        <f>AA25+AB25</f>
        <v>0</v>
      </c>
      <c r="AD25" s="126"/>
    </row>
    <row r="26" spans="1:30" x14ac:dyDescent="0.35">
      <c r="A26" s="316" t="s">
        <v>158</v>
      </c>
      <c r="B26" s="221">
        <v>4000</v>
      </c>
      <c r="C26" s="11" t="s">
        <v>120</v>
      </c>
      <c r="D26" s="220">
        <v>0</v>
      </c>
      <c r="E26" s="11" t="s">
        <v>117</v>
      </c>
      <c r="F26" s="114">
        <f>D26*B26</f>
        <v>0</v>
      </c>
      <c r="G26" s="303" t="s">
        <v>376</v>
      </c>
      <c r="H26" s="8"/>
      <c r="I26" s="124"/>
      <c r="J26" s="124"/>
      <c r="K26" s="50"/>
      <c r="L26" s="2"/>
      <c r="M26" s="126"/>
      <c r="N26" s="8"/>
      <c r="O26" s="124"/>
      <c r="P26" s="181"/>
      <c r="Q26" s="8"/>
      <c r="R26" s="124"/>
      <c r="S26" s="188"/>
      <c r="T26" s="188"/>
      <c r="U26" s="189"/>
      <c r="V26" s="189"/>
      <c r="W26" s="8"/>
      <c r="X26" s="126"/>
      <c r="Y26" s="8"/>
      <c r="Z26" s="190"/>
      <c r="AA26" s="183"/>
      <c r="AB26" s="9"/>
      <c r="AC26" s="126"/>
      <c r="AD26" s="126"/>
    </row>
    <row r="27" spans="1:30" x14ac:dyDescent="0.35">
      <c r="A27" s="530"/>
      <c r="B27" s="5"/>
      <c r="C27" s="11"/>
      <c r="D27" s="220">
        <v>1.5</v>
      </c>
      <c r="E27" s="11" t="s">
        <v>630</v>
      </c>
      <c r="F27" s="113">
        <f>D27*F14*D26</f>
        <v>0</v>
      </c>
      <c r="G27" s="303" t="s">
        <v>151</v>
      </c>
      <c r="H27" s="8"/>
      <c r="I27" s="124"/>
      <c r="J27" s="270" t="s">
        <v>667</v>
      </c>
      <c r="K27" s="197">
        <f>IF($D$28&gt;0,((GIS_inputs!C121*B62/2000)/$F$29),((GIS_inputs!C121*B62/2000)/$F$27))</f>
        <v>325</v>
      </c>
      <c r="L27" s="197">
        <f>(((GIS_inputs!C121)*B62/2000)/$F$50)</f>
        <v>2600</v>
      </c>
      <c r="M27" s="125" t="s">
        <v>432</v>
      </c>
      <c r="N27" s="8"/>
      <c r="O27" s="177" t="s">
        <v>679</v>
      </c>
      <c r="P27" s="200">
        <f>IF(L27&gt;K27,($F$15*$I$16*L27),($F$15*$I$16*K27))</f>
        <v>17589000</v>
      </c>
      <c r="Q27" s="8"/>
      <c r="R27" s="177" t="s">
        <v>691</v>
      </c>
      <c r="S27" s="204">
        <f>IF(L27&gt;K27,($I$16*$F$21*L27),($I$16*$F$21*K27))</f>
        <v>1465750</v>
      </c>
      <c r="T27" s="204">
        <f>(($B$62*GIS_inputs!C121)/2000)*($F$43+$F$44)</f>
        <v>312000</v>
      </c>
      <c r="U27" s="204">
        <f>IF(L27&gt;K27,((($F$30+$F$26+$F$28+($I$16*$F$38))*(Q53/$Q$63))+($F$39*L27)),((($F$30+$F$26+$F$28+($I$16*$F$38))*(Q53/$Q$63))+($F$39*K27)))</f>
        <v>3968142.8571428568</v>
      </c>
      <c r="V27" s="204">
        <f>$F$51*L27</f>
        <v>46800000</v>
      </c>
      <c r="W27" s="204">
        <f>IF(L27&gt;K27,((($Q$51*$I$16)*L27)+(($F$56+$F$57+$F$58)*$I$16*(Q53/$Q$63))),((($Q$51*$I$16)*K27)+(($F$56+$F$57+$F$58)*$I$16*(Q53/$Q$63))))</f>
        <v>1514.2857142857142</v>
      </c>
      <c r="X27" s="521">
        <f>SUM(S27:W27)</f>
        <v>52547407.142857142</v>
      </c>
      <c r="Y27" s="8"/>
      <c r="Z27" s="177" t="s">
        <v>703</v>
      </c>
      <c r="AA27" s="205">
        <f>P27</f>
        <v>17589000</v>
      </c>
      <c r="AB27" s="205">
        <f>X27</f>
        <v>52547407.142857142</v>
      </c>
      <c r="AC27" s="521">
        <f t="shared" ref="AC27:AC35" si="2">AA27+AB27</f>
        <v>70136407.142857134</v>
      </c>
      <c r="AD27" s="126"/>
    </row>
    <row r="28" spans="1:30" x14ac:dyDescent="0.35">
      <c r="A28" s="316" t="s">
        <v>165</v>
      </c>
      <c r="B28" s="221">
        <v>161000</v>
      </c>
      <c r="C28" s="11" t="s">
        <v>120</v>
      </c>
      <c r="D28" s="220">
        <v>1</v>
      </c>
      <c r="E28" s="11" t="s">
        <v>117</v>
      </c>
      <c r="F28" s="114">
        <f>D28*B28</f>
        <v>161000</v>
      </c>
      <c r="G28" s="303" t="s">
        <v>376</v>
      </c>
      <c r="H28" s="8"/>
      <c r="I28" s="124"/>
      <c r="J28" s="270" t="s">
        <v>668</v>
      </c>
      <c r="K28" s="197">
        <f>IF($D$28&gt;0,((GIS_inputs!C122*B63/2000)/$F$29),((GIS_inputs!C122*B63/2000)/$F$27))</f>
        <v>0</v>
      </c>
      <c r="L28" s="197">
        <f>(((GIS_inputs!C122)*B63/2000)/$F$50)</f>
        <v>0</v>
      </c>
      <c r="M28" s="125" t="s">
        <v>432</v>
      </c>
      <c r="N28" s="8"/>
      <c r="O28" s="177" t="s">
        <v>680</v>
      </c>
      <c r="P28" s="200">
        <f>IF(L28&gt;K28,($F$15*$I$16*L28),($F$15*$I$16*K28))</f>
        <v>0</v>
      </c>
      <c r="Q28" s="8"/>
      <c r="R28" s="177" t="s">
        <v>692</v>
      </c>
      <c r="S28" s="202">
        <f>IF(L28&gt;K28,($I$16*$F$21*L28),($I$16*$F$21*K28))</f>
        <v>0</v>
      </c>
      <c r="T28" s="204">
        <f>(($B$62*GIS_inputs!C122)/2000)*($F$43+$F$44)</f>
        <v>0</v>
      </c>
      <c r="U28" s="204">
        <f>IF(L28&gt;K28,((($F$30+$F$26+$F$28+($I$16*$F$38))*(Q54/$Q$63))+($F$39*L28)),((($F$30+$F$26+$F$28+($I$16*$F$38))*(Q54/$Q$63))+($F$39*K28)))</f>
        <v>0</v>
      </c>
      <c r="V28" s="204">
        <f t="shared" ref="V28:V30" si="3">$F$51*L28</f>
        <v>0</v>
      </c>
      <c r="W28" s="204">
        <f>IF(L28&gt;K28,((($Q$51*$I$16)*L28)+(($F$56+$F$57+$F$58)*$I$16*(Q54/$Q$63))),((($Q$51*$I$16)*K28)+(($F$56+$F$57+$F$58)*$I$16*(Q54/$Q$63))))</f>
        <v>0</v>
      </c>
      <c r="X28" s="521">
        <f>SUM(S28:W28)</f>
        <v>0</v>
      </c>
      <c r="Y28" s="8"/>
      <c r="Z28" s="177" t="s">
        <v>704</v>
      </c>
      <c r="AA28" s="205">
        <f>P28</f>
        <v>0</v>
      </c>
      <c r="AB28" s="205">
        <f>X28</f>
        <v>0</v>
      </c>
      <c r="AC28" s="521">
        <f t="shared" si="2"/>
        <v>0</v>
      </c>
      <c r="AD28" s="126"/>
    </row>
    <row r="29" spans="1:30" x14ac:dyDescent="0.35">
      <c r="A29" s="530"/>
      <c r="B29" s="5"/>
      <c r="C29" s="11"/>
      <c r="D29" s="220">
        <v>40</v>
      </c>
      <c r="E29" s="11" t="s">
        <v>630</v>
      </c>
      <c r="F29" s="113">
        <f>D29*F14*D28</f>
        <v>480</v>
      </c>
      <c r="G29" s="303" t="s">
        <v>151</v>
      </c>
      <c r="H29" s="8"/>
      <c r="I29" s="124"/>
      <c r="J29" s="270" t="s">
        <v>669</v>
      </c>
      <c r="K29" s="197">
        <f>IF($D$28&gt;0,((GIS_inputs!C123*B64/2000)/$F$29),((GIS_inputs!C123*B64/2000)/$F$27))</f>
        <v>0</v>
      </c>
      <c r="L29" s="197">
        <f>(((GIS_inputs!C123)*B64/2000)/$F$50)</f>
        <v>0</v>
      </c>
      <c r="M29" s="125" t="s">
        <v>432</v>
      </c>
      <c r="N29" s="8"/>
      <c r="O29" s="177" t="s">
        <v>681</v>
      </c>
      <c r="P29" s="200">
        <f>IF(L29&gt;K29,($F$15*$I$16*L29),($F$15*$I$16*K29))</f>
        <v>0</v>
      </c>
      <c r="Q29" s="8"/>
      <c r="R29" s="177" t="s">
        <v>693</v>
      </c>
      <c r="S29" s="202">
        <f>IF(L29&gt;K29,($I$16*$F$21*L29),($I$16*$F$21*K29))</f>
        <v>0</v>
      </c>
      <c r="T29" s="204">
        <f>(($B$62*GIS_inputs!C123)/2000)*($F$43+$F$44)</f>
        <v>0</v>
      </c>
      <c r="U29" s="204">
        <f>IF(L29&gt;K29,((($F$30+$F$26+$F$28+($I$16*$F$38))*(Q55/$Q$63))+($F$39*L29)),((($F$30+$F$26+$F$28+($I$16*$F$38))*(Q55/$Q$63))+($F$39*K29)))</f>
        <v>0</v>
      </c>
      <c r="V29" s="204">
        <f t="shared" si="3"/>
        <v>0</v>
      </c>
      <c r="W29" s="204">
        <f>IF(L29&gt;K29,((($Q$51*$I$16)*L29)+(($F$56+$F$57+$F$58)*$I$16*(Q55/$Q$63))),((($Q$51*$I$16)*K29)+(($F$56+$F$57+$F$58)*$I$16*(Q55/$Q$63))))</f>
        <v>0</v>
      </c>
      <c r="X29" s="521">
        <f>SUM(S29:W29)</f>
        <v>0</v>
      </c>
      <c r="Y29" s="8"/>
      <c r="Z29" s="177" t="s">
        <v>705</v>
      </c>
      <c r="AA29" s="205">
        <f>P29</f>
        <v>0</v>
      </c>
      <c r="AB29" s="205">
        <f>X29</f>
        <v>0</v>
      </c>
      <c r="AC29" s="521">
        <f t="shared" si="2"/>
        <v>0</v>
      </c>
      <c r="AD29" s="126"/>
    </row>
    <row r="30" spans="1:30" x14ac:dyDescent="0.35">
      <c r="A30" s="316" t="s">
        <v>725</v>
      </c>
      <c r="B30" s="221">
        <v>145000</v>
      </c>
      <c r="C30" s="11" t="s">
        <v>120</v>
      </c>
      <c r="D30" s="220">
        <v>1</v>
      </c>
      <c r="E30" s="11" t="s">
        <v>117</v>
      </c>
      <c r="F30" s="114">
        <f>D30*B30</f>
        <v>145000</v>
      </c>
      <c r="G30" s="303" t="s">
        <v>376</v>
      </c>
      <c r="H30" s="8"/>
      <c r="I30" s="124"/>
      <c r="J30" s="270" t="s">
        <v>670</v>
      </c>
      <c r="K30" s="197">
        <f>IF($D$28&gt;0,((GIS_inputs!C124*B65/2000)/$F$29),((GIS_inputs!C124*B65/2000)/$F$27))</f>
        <v>0</v>
      </c>
      <c r="L30" s="197">
        <f>(((GIS_inputs!C124)*B65/2000)/$F$50)</f>
        <v>0</v>
      </c>
      <c r="M30" s="125" t="s">
        <v>432</v>
      </c>
      <c r="N30" s="8"/>
      <c r="O30" s="177" t="s">
        <v>682</v>
      </c>
      <c r="P30" s="200">
        <f>IF(L30&gt;K30,($F$15*$I$16*L30),($F$15*$I$16*K30))</f>
        <v>0</v>
      </c>
      <c r="Q30" s="8"/>
      <c r="R30" s="177" t="s">
        <v>694</v>
      </c>
      <c r="S30" s="202">
        <f>IF(L30&gt;K30,($I$16*$F$21*L30),($I$16*$F$21*K30))</f>
        <v>0</v>
      </c>
      <c r="T30" s="204">
        <f>(($B$62*GIS_inputs!C124)/2000)*($F$43+$F$44)</f>
        <v>0</v>
      </c>
      <c r="U30" s="204">
        <f>IF(L30&gt;K30,((($F$30+$F$26+$F$28+($I$16*$F$38))*(Q56/$Q$63))+($F$39*L30)),((($F$30+$F$26+$F$28+($I$16*$F$38))*(Q56/$Q$63))+($F$39*K30)))</f>
        <v>0</v>
      </c>
      <c r="V30" s="204">
        <f t="shared" si="3"/>
        <v>0</v>
      </c>
      <c r="W30" s="204">
        <f>IF(L30&gt;K30,((($Q$51*$I$16)*L30)+(($F$56+$F$57+$F$58)*$I$16*(Q56/$Q$63))),((($Q$51*$I$16)*K30)+(($F$56+$F$57+$F$58)*$I$16*(Q56/$Q$63))))</f>
        <v>0</v>
      </c>
      <c r="X30" s="521">
        <f>SUM(S30:W30)</f>
        <v>0</v>
      </c>
      <c r="Y30" s="8"/>
      <c r="Z30" s="177" t="s">
        <v>706</v>
      </c>
      <c r="AA30" s="205">
        <f>P30</f>
        <v>0</v>
      </c>
      <c r="AB30" s="205">
        <f>X30</f>
        <v>0</v>
      </c>
      <c r="AC30" s="521">
        <f t="shared" si="2"/>
        <v>0</v>
      </c>
      <c r="AD30" s="126"/>
    </row>
    <row r="31" spans="1:30" x14ac:dyDescent="0.35">
      <c r="A31" s="419" t="s">
        <v>129</v>
      </c>
      <c r="B31" s="221">
        <v>35</v>
      </c>
      <c r="C31" s="11" t="s">
        <v>155</v>
      </c>
      <c r="D31" s="230">
        <f>D13</f>
        <v>2</v>
      </c>
      <c r="E31" s="11" t="s">
        <v>117</v>
      </c>
      <c r="F31" s="225">
        <f>D31*B31*8</f>
        <v>560</v>
      </c>
      <c r="G31" s="410" t="s">
        <v>149</v>
      </c>
      <c r="H31" s="9"/>
      <c r="I31" s="124"/>
      <c r="J31" s="124"/>
      <c r="K31" s="193"/>
      <c r="L31" s="8"/>
      <c r="M31" s="126"/>
      <c r="N31" s="8"/>
      <c r="O31" s="124"/>
      <c r="P31" s="181"/>
      <c r="Q31" s="8"/>
      <c r="R31" s="124"/>
      <c r="S31" s="188"/>
      <c r="T31" s="188"/>
      <c r="U31" s="189"/>
      <c r="V31" s="189"/>
      <c r="W31" s="8"/>
      <c r="X31" s="126"/>
      <c r="Y31" s="8"/>
      <c r="Z31" s="124"/>
      <c r="AA31" s="184"/>
      <c r="AB31" s="8"/>
      <c r="AC31" s="126"/>
      <c r="AD31" s="126"/>
    </row>
    <row r="32" spans="1:30" x14ac:dyDescent="0.35">
      <c r="A32" s="419" t="s">
        <v>366</v>
      </c>
      <c r="B32" s="221">
        <v>40</v>
      </c>
      <c r="C32" s="11" t="s">
        <v>120</v>
      </c>
      <c r="D32" s="220">
        <f>$I$16</f>
        <v>5</v>
      </c>
      <c r="E32" s="11" t="s">
        <v>117</v>
      </c>
      <c r="F32" s="225">
        <f>D32*B32</f>
        <v>200</v>
      </c>
      <c r="G32" s="410" t="s">
        <v>376</v>
      </c>
      <c r="H32" s="9"/>
      <c r="I32" s="124"/>
      <c r="J32" s="177" t="s">
        <v>671</v>
      </c>
      <c r="K32" s="212">
        <f>K27+K22</f>
        <v>568.75</v>
      </c>
      <c r="L32" s="212">
        <f>L27+L22</f>
        <v>4550</v>
      </c>
      <c r="M32" s="125" t="s">
        <v>432</v>
      </c>
      <c r="N32" s="8"/>
      <c r="O32" s="177" t="s">
        <v>683</v>
      </c>
      <c r="P32" s="200">
        <f>P22+P27</f>
        <v>30780750</v>
      </c>
      <c r="Q32" s="8"/>
      <c r="R32" s="177" t="s">
        <v>695</v>
      </c>
      <c r="S32" s="204">
        <f>S27+S22</f>
        <v>2565062.5</v>
      </c>
      <c r="T32" s="204">
        <f>T27+T22</f>
        <v>546000</v>
      </c>
      <c r="U32" s="204">
        <f>U27+U22</f>
        <v>6944250</v>
      </c>
      <c r="V32" s="204">
        <f>V27+V22</f>
        <v>81900000</v>
      </c>
      <c r="W32" s="204">
        <f>W27+W22</f>
        <v>2650</v>
      </c>
      <c r="X32" s="521">
        <f>SUM(S32:W32)</f>
        <v>91957962.5</v>
      </c>
      <c r="Y32" s="8"/>
      <c r="Z32" s="177" t="s">
        <v>707</v>
      </c>
      <c r="AA32" s="205">
        <f>P32</f>
        <v>30780750</v>
      </c>
      <c r="AB32" s="205">
        <f>X32</f>
        <v>91957962.5</v>
      </c>
      <c r="AC32" s="521">
        <f t="shared" si="2"/>
        <v>122738712.5</v>
      </c>
      <c r="AD32" s="126"/>
    </row>
    <row r="33" spans="1:36" x14ac:dyDescent="0.35">
      <c r="A33" s="419" t="s">
        <v>365</v>
      </c>
      <c r="B33" s="221">
        <v>30</v>
      </c>
      <c r="C33" s="11" t="s">
        <v>120</v>
      </c>
      <c r="D33" s="220">
        <f>$I$16</f>
        <v>5</v>
      </c>
      <c r="E33" s="11" t="s">
        <v>117</v>
      </c>
      <c r="F33" s="225">
        <f>D33*B33</f>
        <v>150</v>
      </c>
      <c r="G33" s="410" t="s">
        <v>376</v>
      </c>
      <c r="H33" s="8"/>
      <c r="I33" s="124"/>
      <c r="J33" s="177" t="s">
        <v>672</v>
      </c>
      <c r="K33" s="212">
        <f t="shared" ref="K33:L35" si="4">K28+K23</f>
        <v>0</v>
      </c>
      <c r="L33" s="212">
        <f t="shared" si="4"/>
        <v>0</v>
      </c>
      <c r="M33" s="125" t="s">
        <v>432</v>
      </c>
      <c r="N33" s="8"/>
      <c r="O33" s="177" t="s">
        <v>684</v>
      </c>
      <c r="P33" s="200">
        <f>P23+P28</f>
        <v>0</v>
      </c>
      <c r="Q33" s="8"/>
      <c r="R33" s="177" t="s">
        <v>696</v>
      </c>
      <c r="S33" s="204">
        <f t="shared" ref="S33:W35" si="5">S28+S23</f>
        <v>0</v>
      </c>
      <c r="T33" s="204">
        <f t="shared" si="5"/>
        <v>0</v>
      </c>
      <c r="U33" s="204">
        <f t="shared" si="5"/>
        <v>0</v>
      </c>
      <c r="V33" s="204">
        <f t="shared" si="5"/>
        <v>0</v>
      </c>
      <c r="W33" s="204">
        <f t="shared" si="5"/>
        <v>0</v>
      </c>
      <c r="X33" s="521">
        <f>SUM(S33:W33)</f>
        <v>0</v>
      </c>
      <c r="Y33" s="8"/>
      <c r="Z33" s="177" t="s">
        <v>708</v>
      </c>
      <c r="AA33" s="205">
        <f>P33</f>
        <v>0</v>
      </c>
      <c r="AB33" s="205">
        <f>X33</f>
        <v>0</v>
      </c>
      <c r="AC33" s="521">
        <f t="shared" si="2"/>
        <v>0</v>
      </c>
      <c r="AD33" s="126"/>
    </row>
    <row r="34" spans="1:36" x14ac:dyDescent="0.35">
      <c r="A34" s="419" t="s">
        <v>364</v>
      </c>
      <c r="B34" s="221">
        <v>745</v>
      </c>
      <c r="C34" s="11" t="s">
        <v>163</v>
      </c>
      <c r="D34" s="220">
        <f>$I$16</f>
        <v>5</v>
      </c>
      <c r="E34" s="11" t="s">
        <v>117</v>
      </c>
      <c r="F34" s="225">
        <f>D34*B34/7</f>
        <v>532.14285714285711</v>
      </c>
      <c r="G34" s="410" t="s">
        <v>149</v>
      </c>
      <c r="H34" s="8"/>
      <c r="I34" s="124"/>
      <c r="J34" s="177" t="s">
        <v>673</v>
      </c>
      <c r="K34" s="212">
        <f t="shared" si="4"/>
        <v>0</v>
      </c>
      <c r="L34" s="212">
        <f t="shared" si="4"/>
        <v>0</v>
      </c>
      <c r="M34" s="125" t="s">
        <v>432</v>
      </c>
      <c r="N34" s="8"/>
      <c r="O34" s="177" t="s">
        <v>685</v>
      </c>
      <c r="P34" s="200">
        <f>P24+P29</f>
        <v>0</v>
      </c>
      <c r="Q34" s="8"/>
      <c r="R34" s="177" t="s">
        <v>697</v>
      </c>
      <c r="S34" s="204">
        <f t="shared" si="5"/>
        <v>0</v>
      </c>
      <c r="T34" s="204">
        <f t="shared" si="5"/>
        <v>0</v>
      </c>
      <c r="U34" s="204">
        <f t="shared" si="5"/>
        <v>0</v>
      </c>
      <c r="V34" s="204">
        <f t="shared" si="5"/>
        <v>0</v>
      </c>
      <c r="W34" s="204">
        <f t="shared" si="5"/>
        <v>0</v>
      </c>
      <c r="X34" s="521">
        <f>SUM(S34:W34)</f>
        <v>0</v>
      </c>
      <c r="Y34" s="8"/>
      <c r="Z34" s="177" t="s">
        <v>709</v>
      </c>
      <c r="AA34" s="205">
        <f>P34</f>
        <v>0</v>
      </c>
      <c r="AB34" s="205">
        <f>X34</f>
        <v>0</v>
      </c>
      <c r="AC34" s="521">
        <f t="shared" si="2"/>
        <v>0</v>
      </c>
      <c r="AD34" s="126"/>
    </row>
    <row r="35" spans="1:36" x14ac:dyDescent="0.35">
      <c r="A35" s="531" t="s">
        <v>374</v>
      </c>
      <c r="B35" s="221">
        <v>513</v>
      </c>
      <c r="C35" s="11" t="s">
        <v>163</v>
      </c>
      <c r="D35" s="220">
        <v>5</v>
      </c>
      <c r="E35" s="11" t="s">
        <v>117</v>
      </c>
      <c r="F35" s="33">
        <f>D35*B35/7</f>
        <v>366.42857142857144</v>
      </c>
      <c r="G35" s="410" t="s">
        <v>149</v>
      </c>
      <c r="H35" s="8"/>
      <c r="I35" s="124"/>
      <c r="J35" s="177" t="s">
        <v>674</v>
      </c>
      <c r="K35" s="212">
        <f t="shared" si="4"/>
        <v>0</v>
      </c>
      <c r="L35" s="212">
        <f t="shared" si="4"/>
        <v>0</v>
      </c>
      <c r="M35" s="125" t="s">
        <v>432</v>
      </c>
      <c r="N35" s="8"/>
      <c r="O35" s="177" t="s">
        <v>686</v>
      </c>
      <c r="P35" s="200">
        <f>P25+P30</f>
        <v>0</v>
      </c>
      <c r="Q35" s="8"/>
      <c r="R35" s="177" t="s">
        <v>698</v>
      </c>
      <c r="S35" s="204">
        <f t="shared" si="5"/>
        <v>0</v>
      </c>
      <c r="T35" s="204">
        <f t="shared" si="5"/>
        <v>0</v>
      </c>
      <c r="U35" s="204">
        <f t="shared" si="5"/>
        <v>0</v>
      </c>
      <c r="V35" s="204">
        <f t="shared" si="5"/>
        <v>0</v>
      </c>
      <c r="W35" s="204">
        <f t="shared" si="5"/>
        <v>0</v>
      </c>
      <c r="X35" s="521">
        <f>SUM(S35:W35)</f>
        <v>0</v>
      </c>
      <c r="Y35" s="8"/>
      <c r="Z35" s="177" t="s">
        <v>710</v>
      </c>
      <c r="AA35" s="205">
        <f>P35</f>
        <v>0</v>
      </c>
      <c r="AB35" s="205">
        <f>X35</f>
        <v>0</v>
      </c>
      <c r="AC35" s="521">
        <f t="shared" si="2"/>
        <v>0</v>
      </c>
      <c r="AD35" s="126"/>
    </row>
    <row r="36" spans="1:36" x14ac:dyDescent="0.35">
      <c r="A36" s="532" t="s">
        <v>1208</v>
      </c>
      <c r="B36" s="221"/>
      <c r="C36" s="11"/>
      <c r="D36" s="220"/>
      <c r="E36" s="11"/>
      <c r="F36" s="33"/>
      <c r="G36" s="410" t="s">
        <v>1192</v>
      </c>
      <c r="H36" s="8"/>
      <c r="I36" s="124"/>
      <c r="J36" s="124"/>
      <c r="K36" s="193"/>
      <c r="L36" s="8"/>
      <c r="M36" s="126"/>
      <c r="N36" s="8"/>
      <c r="O36" s="124"/>
      <c r="P36" s="181"/>
      <c r="Q36" s="8"/>
      <c r="R36" s="177"/>
      <c r="S36" s="185"/>
      <c r="T36" s="186"/>
      <c r="U36" s="186"/>
      <c r="V36" s="186"/>
      <c r="W36" s="186"/>
      <c r="X36" s="522"/>
      <c r="Y36" s="8"/>
      <c r="Z36" s="177"/>
      <c r="AA36" s="182"/>
      <c r="AB36" s="2"/>
      <c r="AC36" s="125"/>
      <c r="AD36" s="126"/>
    </row>
    <row r="37" spans="1:36" ht="15" thickBot="1" x14ac:dyDescent="0.4">
      <c r="A37" s="532"/>
      <c r="B37" s="5"/>
      <c r="C37" s="31"/>
      <c r="D37" s="31"/>
      <c r="E37" s="31"/>
      <c r="F37" s="225"/>
      <c r="G37" s="410"/>
      <c r="H37" s="8"/>
      <c r="I37" s="124"/>
      <c r="J37" s="178" t="s">
        <v>715</v>
      </c>
      <c r="K37" s="213">
        <f>SUM(K32:K35)</f>
        <v>568.75</v>
      </c>
      <c r="L37" s="213">
        <f>SUM(L32:L35)</f>
        <v>4550</v>
      </c>
      <c r="M37" s="129" t="s">
        <v>432</v>
      </c>
      <c r="N37" s="8"/>
      <c r="O37" s="178" t="s">
        <v>716</v>
      </c>
      <c r="P37" s="201">
        <f>SUM(P32:P35)</f>
        <v>30780750</v>
      </c>
      <c r="Q37" s="8"/>
      <c r="R37" s="395" t="s">
        <v>717</v>
      </c>
      <c r="S37" s="523">
        <f>SUM(S32:S35)</f>
        <v>2565062.5</v>
      </c>
      <c r="T37" s="525">
        <f>SUM(T32:T35)</f>
        <v>546000</v>
      </c>
      <c r="U37" s="525">
        <f>SUM(U32:U35)</f>
        <v>6944250</v>
      </c>
      <c r="V37" s="525">
        <f>SUM(V32:V35)</f>
        <v>81900000</v>
      </c>
      <c r="W37" s="524">
        <f>SUM(W32:W35)</f>
        <v>2650</v>
      </c>
      <c r="X37" s="526">
        <f>SUM(S37:W37)</f>
        <v>91957962.5</v>
      </c>
      <c r="Y37" s="8"/>
      <c r="Z37" s="395" t="s">
        <v>806</v>
      </c>
      <c r="AA37" s="528">
        <f>SUM(AA32:AA35)</f>
        <v>30780750</v>
      </c>
      <c r="AB37" s="528">
        <f>SUM(AB32:AB35)</f>
        <v>91957962.5</v>
      </c>
      <c r="AC37" s="529">
        <f>SUM(AC32:AC35)</f>
        <v>122738712.5</v>
      </c>
      <c r="AD37" s="126"/>
    </row>
    <row r="38" spans="1:36" x14ac:dyDescent="0.35">
      <c r="A38" s="341" t="s">
        <v>87</v>
      </c>
      <c r="B38" s="1"/>
      <c r="C38" s="65"/>
      <c r="D38" s="50"/>
      <c r="E38" s="50"/>
      <c r="F38" s="30">
        <f>F32+F33+F36</f>
        <v>350</v>
      </c>
      <c r="G38" s="420" t="s">
        <v>376</v>
      </c>
      <c r="H38" s="8"/>
      <c r="I38" s="124"/>
      <c r="J38" s="8"/>
      <c r="K38" s="8"/>
      <c r="L38" s="8"/>
      <c r="M38" s="8"/>
      <c r="N38" s="8"/>
      <c r="O38" s="8"/>
      <c r="P38" s="8"/>
      <c r="Q38" s="8"/>
      <c r="R38" s="8"/>
      <c r="S38" s="8"/>
      <c r="T38" s="8"/>
      <c r="U38" s="8"/>
      <c r="V38" s="8"/>
      <c r="W38" s="8"/>
      <c r="X38" s="8"/>
      <c r="Y38" s="8"/>
      <c r="Z38" s="8"/>
      <c r="AA38" s="8"/>
      <c r="AB38" s="8"/>
      <c r="AC38" s="8"/>
      <c r="AD38" s="126"/>
    </row>
    <row r="39" spans="1:36" ht="15" thickBot="1" x14ac:dyDescent="0.4">
      <c r="A39" s="284" t="s">
        <v>105</v>
      </c>
      <c r="B39" s="305"/>
      <c r="C39" s="286"/>
      <c r="D39" s="306"/>
      <c r="E39" s="306"/>
      <c r="F39" s="289">
        <f>F31+F34+F35</f>
        <v>1458.5714285714284</v>
      </c>
      <c r="G39" s="290" t="s">
        <v>149</v>
      </c>
      <c r="H39" s="224"/>
      <c r="I39" s="124"/>
      <c r="J39" s="9" t="s">
        <v>1205</v>
      </c>
      <c r="K39" s="534">
        <f>SUM(K22:K25)</f>
        <v>243.75</v>
      </c>
      <c r="L39" s="534">
        <f>SUM(L22:L25)</f>
        <v>1950</v>
      </c>
      <c r="M39" s="9"/>
      <c r="N39" s="9"/>
      <c r="O39" s="8"/>
      <c r="P39" s="9"/>
      <c r="Q39" s="9"/>
      <c r="R39" s="8"/>
      <c r="S39" s="8"/>
      <c r="T39" s="8"/>
      <c r="U39" s="8"/>
      <c r="V39" s="8"/>
      <c r="W39" s="8"/>
      <c r="X39" s="184"/>
      <c r="Y39" s="184"/>
      <c r="Z39" s="8"/>
      <c r="AA39" s="8"/>
      <c r="AB39" s="8"/>
      <c r="AC39" s="8"/>
      <c r="AD39" s="126"/>
    </row>
    <row r="40" spans="1:36" ht="15" thickBot="1" x14ac:dyDescent="0.4">
      <c r="A40" s="308"/>
      <c r="B40" s="319"/>
      <c r="C40" s="293"/>
      <c r="D40" s="293"/>
      <c r="E40" s="293"/>
      <c r="F40" s="293"/>
      <c r="G40" s="297"/>
      <c r="H40" s="8"/>
      <c r="I40" s="190"/>
      <c r="J40" s="9" t="s">
        <v>1206</v>
      </c>
      <c r="K40" s="534">
        <f>SUM(K27:K30)</f>
        <v>325</v>
      </c>
      <c r="L40" s="534">
        <f>SUM(L27:L30)</f>
        <v>2600</v>
      </c>
      <c r="M40" s="8"/>
      <c r="N40" s="8"/>
      <c r="O40" s="9"/>
      <c r="P40" s="8"/>
      <c r="Q40" s="192"/>
      <c r="R40" s="8"/>
      <c r="S40" s="8"/>
      <c r="T40" s="8"/>
      <c r="U40" s="8"/>
      <c r="V40" s="8"/>
      <c r="W40" s="8"/>
      <c r="X40" s="8"/>
      <c r="Y40" s="8"/>
      <c r="Z40" s="8"/>
      <c r="AA40" s="8"/>
      <c r="AB40" s="8"/>
      <c r="AC40" s="8"/>
      <c r="AD40" s="126"/>
    </row>
    <row r="41" spans="1:36" x14ac:dyDescent="0.35">
      <c r="A41" s="314" t="s">
        <v>133</v>
      </c>
      <c r="B41" s="278" t="s">
        <v>28</v>
      </c>
      <c r="C41" s="278" t="s">
        <v>150</v>
      </c>
      <c r="D41" s="278" t="s">
        <v>65</v>
      </c>
      <c r="E41" s="278" t="s">
        <v>150</v>
      </c>
      <c r="F41" s="279" t="s">
        <v>30</v>
      </c>
      <c r="G41" s="280" t="s">
        <v>150</v>
      </c>
      <c r="H41" s="9"/>
      <c r="I41" s="124"/>
      <c r="J41" s="8"/>
      <c r="K41" s="9"/>
      <c r="L41" s="8"/>
      <c r="M41" s="8"/>
      <c r="N41" s="8"/>
      <c r="O41" s="8"/>
      <c r="P41" s="8"/>
      <c r="Q41" s="192"/>
      <c r="R41" s="8"/>
      <c r="S41" s="8"/>
      <c r="T41" s="8"/>
      <c r="U41" s="8"/>
      <c r="V41" s="8"/>
      <c r="W41" s="8"/>
      <c r="X41" s="8"/>
      <c r="Y41" s="8"/>
      <c r="Z41" s="8"/>
      <c r="AA41" s="8"/>
      <c r="AB41" s="8"/>
      <c r="AC41" s="8"/>
      <c r="AD41" s="126"/>
    </row>
    <row r="42" spans="1:36" x14ac:dyDescent="0.35">
      <c r="A42" s="322"/>
      <c r="B42" s="73"/>
      <c r="C42" s="73"/>
      <c r="D42" s="73"/>
      <c r="E42" s="73"/>
      <c r="F42" s="74"/>
      <c r="G42" s="283"/>
      <c r="H42" s="9"/>
      <c r="I42" s="124"/>
      <c r="J42" s="8"/>
      <c r="K42" s="8"/>
      <c r="L42" s="8"/>
      <c r="M42" s="8"/>
      <c r="N42" s="8"/>
      <c r="O42" s="8"/>
      <c r="P42" s="8"/>
      <c r="Q42" s="8"/>
      <c r="R42" s="8"/>
      <c r="S42" s="8" t="s">
        <v>467</v>
      </c>
      <c r="T42" s="8"/>
      <c r="U42" s="8"/>
      <c r="V42" s="8"/>
      <c r="W42" s="8"/>
      <c r="X42" s="8"/>
      <c r="Y42" s="8"/>
      <c r="Z42" s="8"/>
      <c r="AA42" s="8"/>
      <c r="AB42" s="8"/>
      <c r="AC42" s="8"/>
      <c r="AD42" s="126"/>
    </row>
    <row r="43" spans="1:36" ht="15" thickBot="1" x14ac:dyDescent="0.4">
      <c r="A43" s="323" t="s">
        <v>375</v>
      </c>
      <c r="B43" s="221">
        <v>1</v>
      </c>
      <c r="C43" s="11" t="s">
        <v>152</v>
      </c>
      <c r="D43" s="220"/>
      <c r="E43" s="11"/>
      <c r="F43" s="114">
        <f>B43</f>
        <v>1</v>
      </c>
      <c r="G43" s="303" t="s">
        <v>152</v>
      </c>
      <c r="H43" s="8"/>
      <c r="I43" s="127"/>
      <c r="J43" s="133"/>
      <c r="K43" s="133"/>
      <c r="L43" s="133"/>
      <c r="M43" s="133"/>
      <c r="N43" s="133"/>
      <c r="O43" s="133"/>
      <c r="P43" s="133"/>
      <c r="Q43" s="133"/>
      <c r="R43" s="133"/>
      <c r="S43" s="133"/>
      <c r="T43" s="133"/>
      <c r="U43" s="133"/>
      <c r="V43" s="133"/>
      <c r="W43" s="133"/>
      <c r="X43" s="133"/>
      <c r="Y43" s="133"/>
      <c r="Z43" s="133"/>
      <c r="AA43" s="133"/>
      <c r="AB43" s="133"/>
      <c r="AC43" s="133"/>
      <c r="AD43" s="134"/>
    </row>
    <row r="44" spans="1:36" ht="15" thickBot="1" x14ac:dyDescent="0.4">
      <c r="A44" s="324" t="s">
        <v>391</v>
      </c>
      <c r="B44" s="285">
        <v>1</v>
      </c>
      <c r="C44" s="306" t="s">
        <v>152</v>
      </c>
      <c r="D44" s="317"/>
      <c r="E44" s="306"/>
      <c r="F44" s="325">
        <f>B44</f>
        <v>1</v>
      </c>
      <c r="G44" s="290" t="s">
        <v>152</v>
      </c>
      <c r="H44" s="8"/>
      <c r="K44" s="224"/>
      <c r="L44" s="224"/>
      <c r="M44" s="224"/>
      <c r="N44" s="224"/>
    </row>
    <row r="45" spans="1:36" x14ac:dyDescent="0.35">
      <c r="A45" s="320"/>
      <c r="B45" s="321"/>
      <c r="C45" s="275"/>
      <c r="D45" s="275"/>
      <c r="E45" s="313"/>
      <c r="F45" s="313"/>
      <c r="G45" s="276"/>
      <c r="H45" s="9"/>
      <c r="K45" s="218"/>
      <c r="L45" s="218"/>
      <c r="M45" s="218"/>
      <c r="N45" s="218"/>
      <c r="O45" s="218"/>
    </row>
    <row r="46" spans="1:36" ht="15" thickBot="1" x14ac:dyDescent="0.4">
      <c r="A46" s="68"/>
      <c r="B46" s="179"/>
      <c r="C46" s="272"/>
      <c r="D46" s="272"/>
      <c r="E46" s="272"/>
      <c r="F46" s="272"/>
      <c r="G46" s="274"/>
      <c r="H46" s="9"/>
      <c r="K46" s="218"/>
      <c r="L46" s="218"/>
      <c r="M46" s="218"/>
      <c r="N46" s="218"/>
      <c r="O46" s="218"/>
      <c r="P46" t="s">
        <v>1202</v>
      </c>
    </row>
    <row r="47" spans="1:36" x14ac:dyDescent="0.35">
      <c r="A47" s="314" t="s">
        <v>723</v>
      </c>
      <c r="B47" s="278" t="s">
        <v>28</v>
      </c>
      <c r="C47" s="278" t="s">
        <v>150</v>
      </c>
      <c r="D47" s="278" t="s">
        <v>65</v>
      </c>
      <c r="E47" s="278" t="s">
        <v>150</v>
      </c>
      <c r="F47" s="279" t="s">
        <v>30</v>
      </c>
      <c r="G47" s="280" t="s">
        <v>150</v>
      </c>
      <c r="H47" s="9"/>
      <c r="K47" s="218"/>
      <c r="L47" s="218"/>
      <c r="M47" s="218"/>
      <c r="N47" s="218"/>
      <c r="O47" s="218"/>
      <c r="Q47" s="11" t="s">
        <v>1201</v>
      </c>
    </row>
    <row r="48" spans="1:36" x14ac:dyDescent="0.35">
      <c r="A48" s="328"/>
      <c r="B48" s="73"/>
      <c r="C48" s="73"/>
      <c r="D48" s="73"/>
      <c r="E48" s="73"/>
      <c r="F48" s="74"/>
      <c r="G48" s="334"/>
      <c r="H48" s="103"/>
      <c r="L48" s="219"/>
      <c r="M48" s="218"/>
      <c r="N48" s="218"/>
      <c r="O48" s="62" t="s">
        <v>71</v>
      </c>
      <c r="P48" s="533" t="s">
        <v>67</v>
      </c>
      <c r="Q48" s="102">
        <f>(GIS_inputs!C50*B62)/2000</f>
        <v>117000</v>
      </c>
      <c r="R48" s="12"/>
      <c r="S48" s="12"/>
      <c r="T48" s="12"/>
      <c r="U48" s="12"/>
      <c r="V48" s="12"/>
      <c r="W48" s="12"/>
      <c r="X48" s="12"/>
      <c r="Y48" s="12"/>
      <c r="Z48" s="12"/>
      <c r="AA48" s="12"/>
      <c r="AB48" s="12"/>
      <c r="AC48" s="12"/>
      <c r="AD48" s="12"/>
      <c r="AE48" s="12"/>
      <c r="AF48" s="12"/>
      <c r="AG48" s="12"/>
      <c r="AH48" s="12"/>
      <c r="AI48" s="12"/>
      <c r="AJ48" s="12"/>
    </row>
    <row r="49" spans="1:37" x14ac:dyDescent="0.35">
      <c r="A49" s="281" t="s">
        <v>724</v>
      </c>
      <c r="B49" s="221">
        <v>300</v>
      </c>
      <c r="C49" s="11" t="s">
        <v>152</v>
      </c>
      <c r="D49" s="60"/>
      <c r="E49" s="11"/>
      <c r="F49" s="11"/>
      <c r="G49" s="283"/>
      <c r="H49" s="8"/>
      <c r="L49" s="218"/>
      <c r="M49" s="218"/>
      <c r="N49" s="218"/>
      <c r="O49" s="218"/>
      <c r="P49" s="533" t="s">
        <v>69</v>
      </c>
      <c r="Q49" s="102">
        <f>(GIS_inputs!C51*B63)/2000</f>
        <v>0</v>
      </c>
    </row>
    <row r="50" spans="1:37" x14ac:dyDescent="0.35">
      <c r="A50" s="281" t="s">
        <v>719</v>
      </c>
      <c r="B50" s="5"/>
      <c r="C50" s="11"/>
      <c r="D50" s="220">
        <v>60</v>
      </c>
      <c r="E50" s="11" t="s">
        <v>151</v>
      </c>
      <c r="F50" s="112">
        <f>D50</f>
        <v>60</v>
      </c>
      <c r="G50" s="303" t="s">
        <v>151</v>
      </c>
      <c r="K50" s="218"/>
      <c r="L50" s="218"/>
      <c r="M50" s="218"/>
      <c r="N50" s="218"/>
      <c r="O50" s="218"/>
      <c r="P50" s="533" t="s">
        <v>68</v>
      </c>
      <c r="Q50" s="102">
        <f>(GIS_inputs!C52*B64)/2000</f>
        <v>0</v>
      </c>
    </row>
    <row r="51" spans="1:37" ht="15" thickBot="1" x14ac:dyDescent="0.4">
      <c r="A51" s="304" t="s">
        <v>720</v>
      </c>
      <c r="B51" s="335"/>
      <c r="C51" s="306"/>
      <c r="D51" s="336"/>
      <c r="E51" s="306"/>
      <c r="F51" s="325">
        <f>D50*B49</f>
        <v>18000</v>
      </c>
      <c r="G51" s="290" t="s">
        <v>149</v>
      </c>
      <c r="H51" s="8"/>
      <c r="K51" s="218"/>
      <c r="L51" s="218"/>
      <c r="M51" s="218"/>
      <c r="N51" s="218"/>
      <c r="O51" s="218"/>
      <c r="P51" s="533" t="s">
        <v>70</v>
      </c>
      <c r="Q51" s="102">
        <f>(GIS_inputs!C53*B65)/2000</f>
        <v>0</v>
      </c>
    </row>
    <row r="52" spans="1:37" ht="15" thickBot="1" x14ac:dyDescent="0.4">
      <c r="A52" s="308"/>
      <c r="B52" s="319"/>
      <c r="C52" s="293"/>
      <c r="D52" s="293"/>
      <c r="E52" s="293"/>
      <c r="F52" s="293"/>
      <c r="G52" s="297"/>
      <c r="K52" s="219"/>
      <c r="L52" s="219"/>
      <c r="M52" s="219"/>
      <c r="N52" s="219"/>
      <c r="O52" s="218"/>
      <c r="P52" s="533"/>
      <c r="Q52" s="102"/>
    </row>
    <row r="53" spans="1:37" x14ac:dyDescent="0.35">
      <c r="A53" s="277" t="s">
        <v>31</v>
      </c>
      <c r="B53" s="278" t="s">
        <v>28</v>
      </c>
      <c r="C53" s="278" t="s">
        <v>150</v>
      </c>
      <c r="D53" s="278" t="s">
        <v>65</v>
      </c>
      <c r="E53" s="337" t="s">
        <v>150</v>
      </c>
      <c r="F53" s="338" t="s">
        <v>30</v>
      </c>
      <c r="G53" s="280" t="s">
        <v>150</v>
      </c>
      <c r="L53" s="218"/>
      <c r="M53" s="218"/>
      <c r="N53" s="218"/>
      <c r="O53" s="62" t="s">
        <v>72</v>
      </c>
      <c r="P53" s="533" t="s">
        <v>67</v>
      </c>
      <c r="Q53" s="102">
        <f>(GIS_inputs!C121*B62)/2000</f>
        <v>156000</v>
      </c>
    </row>
    <row r="54" spans="1:37" x14ac:dyDescent="0.35">
      <c r="A54" s="339"/>
      <c r="B54" s="73"/>
      <c r="C54" s="73"/>
      <c r="D54" s="73"/>
      <c r="E54" s="81"/>
      <c r="F54" s="110"/>
      <c r="G54" s="334"/>
      <c r="O54" s="218"/>
      <c r="P54" s="533" t="s">
        <v>69</v>
      </c>
      <c r="Q54" s="102">
        <f>(GIS_inputs!C122*B63)/2000</f>
        <v>0</v>
      </c>
      <c r="AK54" s="12"/>
    </row>
    <row r="55" spans="1:37" ht="29" x14ac:dyDescent="0.35">
      <c r="A55" s="340" t="s">
        <v>390</v>
      </c>
      <c r="B55" s="29">
        <v>0.47</v>
      </c>
      <c r="C55" s="38" t="s">
        <v>44</v>
      </c>
      <c r="D55" s="32">
        <v>2000</v>
      </c>
      <c r="E55" s="108" t="s">
        <v>45</v>
      </c>
      <c r="F55" s="30">
        <f>D55*B55</f>
        <v>940</v>
      </c>
      <c r="G55" s="303" t="s">
        <v>1204</v>
      </c>
      <c r="P55" s="533" t="s">
        <v>68</v>
      </c>
      <c r="Q55" s="102">
        <f>(GIS_inputs!C123*B64)/2000</f>
        <v>0</v>
      </c>
    </row>
    <row r="56" spans="1:37" x14ac:dyDescent="0.35">
      <c r="A56" s="341" t="s">
        <v>42</v>
      </c>
      <c r="B56" s="29">
        <v>300</v>
      </c>
      <c r="C56" s="38" t="s">
        <v>10</v>
      </c>
      <c r="D56" s="32">
        <v>1</v>
      </c>
      <c r="E56" s="79" t="s">
        <v>117</v>
      </c>
      <c r="F56" s="30">
        <f>D56*B56</f>
        <v>300</v>
      </c>
      <c r="G56" s="342" t="s">
        <v>376</v>
      </c>
      <c r="P56" s="533" t="s">
        <v>70</v>
      </c>
      <c r="Q56" s="102">
        <f>(GIS_inputs!C124*B65)/2000</f>
        <v>0</v>
      </c>
    </row>
    <row r="57" spans="1:37" x14ac:dyDescent="0.35">
      <c r="A57" s="341" t="s">
        <v>43</v>
      </c>
      <c r="B57" s="29">
        <v>100</v>
      </c>
      <c r="C57" s="38" t="s">
        <v>10</v>
      </c>
      <c r="D57" s="32">
        <v>1</v>
      </c>
      <c r="E57" s="79" t="s">
        <v>117</v>
      </c>
      <c r="F57" s="30">
        <f>D57*B57</f>
        <v>100</v>
      </c>
      <c r="G57" s="342" t="s">
        <v>376</v>
      </c>
      <c r="P57" s="533"/>
      <c r="Q57" s="102"/>
    </row>
    <row r="58" spans="1:37" ht="15" thickBot="1" x14ac:dyDescent="0.4">
      <c r="A58" s="284" t="s">
        <v>47</v>
      </c>
      <c r="B58" s="347">
        <v>130</v>
      </c>
      <c r="C58" s="344" t="s">
        <v>10</v>
      </c>
      <c r="D58" s="348">
        <v>1</v>
      </c>
      <c r="E58" s="345" t="s">
        <v>117</v>
      </c>
      <c r="F58" s="289">
        <f>D58*B58</f>
        <v>130</v>
      </c>
      <c r="G58" s="346" t="s">
        <v>376</v>
      </c>
      <c r="O58" s="2" t="s">
        <v>75</v>
      </c>
      <c r="P58" s="533" t="s">
        <v>67</v>
      </c>
      <c r="Q58" s="11">
        <f>Q48+Q53</f>
        <v>273000</v>
      </c>
    </row>
    <row r="59" spans="1:37" x14ac:dyDescent="0.35">
      <c r="A59" s="308"/>
      <c r="B59" s="312"/>
      <c r="C59" s="255"/>
      <c r="D59" s="40"/>
      <c r="E59" s="254"/>
      <c r="F59" s="254"/>
      <c r="G59" s="253"/>
      <c r="P59" s="533" t="s">
        <v>69</v>
      </c>
      <c r="Q59" s="11">
        <f t="shared" ref="Q59:Q61" si="6">Q49+Q54</f>
        <v>0</v>
      </c>
    </row>
    <row r="60" spans="1:37" x14ac:dyDescent="0.35">
      <c r="A60" s="246" t="s">
        <v>387</v>
      </c>
      <c r="B60" s="247"/>
      <c r="C60" s="248"/>
      <c r="D60" s="249"/>
      <c r="E60" s="249"/>
      <c r="F60" s="41"/>
      <c r="G60" s="253"/>
      <c r="P60" s="533" t="s">
        <v>68</v>
      </c>
      <c r="Q60" s="11">
        <f t="shared" si="6"/>
        <v>0</v>
      </c>
    </row>
    <row r="61" spans="1:37" x14ac:dyDescent="0.35">
      <c r="A61" s="2"/>
      <c r="B61" s="1"/>
      <c r="C61" s="65"/>
      <c r="D61" s="249"/>
      <c r="E61" s="249"/>
      <c r="F61" s="250"/>
      <c r="G61" s="253"/>
      <c r="P61" s="533" t="s">
        <v>70</v>
      </c>
      <c r="Q61" s="11">
        <f t="shared" si="6"/>
        <v>0</v>
      </c>
    </row>
    <row r="62" spans="1:37" x14ac:dyDescent="0.35">
      <c r="A62" s="2" t="s">
        <v>67</v>
      </c>
      <c r="B62" s="109">
        <v>600</v>
      </c>
      <c r="C62" s="65" t="s">
        <v>388</v>
      </c>
      <c r="D62" s="249"/>
      <c r="E62" s="249"/>
      <c r="F62" s="250"/>
      <c r="G62" s="253"/>
    </row>
    <row r="63" spans="1:37" x14ac:dyDescent="0.35">
      <c r="A63" s="2" t="s">
        <v>69</v>
      </c>
      <c r="B63" s="109">
        <v>300</v>
      </c>
      <c r="C63" s="65" t="s">
        <v>388</v>
      </c>
      <c r="D63" s="249"/>
      <c r="E63" s="249"/>
      <c r="F63" s="250"/>
      <c r="G63" s="253"/>
      <c r="O63" s="2" t="s">
        <v>1203</v>
      </c>
      <c r="P63" s="2"/>
      <c r="Q63" s="11">
        <f>SUM(Q58:Q61)</f>
        <v>273000</v>
      </c>
    </row>
    <row r="64" spans="1:37" x14ac:dyDescent="0.35">
      <c r="A64" s="2" t="s">
        <v>68</v>
      </c>
      <c r="B64" s="109">
        <v>100</v>
      </c>
      <c r="C64" s="65" t="s">
        <v>388</v>
      </c>
      <c r="D64" s="249"/>
      <c r="E64" s="249"/>
      <c r="F64" s="250"/>
      <c r="G64" s="253"/>
    </row>
    <row r="65" spans="1:7" x14ac:dyDescent="0.35">
      <c r="A65" s="2" t="s">
        <v>70</v>
      </c>
      <c r="B65" s="109">
        <v>80</v>
      </c>
      <c r="C65" s="65" t="s">
        <v>388</v>
      </c>
      <c r="D65" s="249"/>
      <c r="E65" s="249"/>
      <c r="F65" s="250"/>
      <c r="G65" s="253"/>
    </row>
    <row r="66" spans="1:7" x14ac:dyDescent="0.35">
      <c r="A66" s="2"/>
      <c r="B66" s="1"/>
      <c r="C66" s="65"/>
      <c r="D66" s="249"/>
      <c r="E66" s="249"/>
      <c r="F66" s="250"/>
      <c r="G66" s="253"/>
    </row>
    <row r="68" spans="1:7" x14ac:dyDescent="0.35">
      <c r="A68" s="454" t="s">
        <v>1088</v>
      </c>
    </row>
    <row r="69" spans="1:7" x14ac:dyDescent="0.35">
      <c r="A69" t="s">
        <v>1086</v>
      </c>
    </row>
    <row r="70" spans="1:7" x14ac:dyDescent="0.35">
      <c r="A70" t="s">
        <v>1253</v>
      </c>
    </row>
    <row r="71" spans="1:7" x14ac:dyDescent="0.35">
      <c r="A71" t="s">
        <v>1087</v>
      </c>
    </row>
    <row r="73" spans="1:7" ht="43.5" x14ac:dyDescent="0.35">
      <c r="A73" s="558" t="s">
        <v>1251</v>
      </c>
    </row>
  </sheetData>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92"/>
  <sheetViews>
    <sheetView topLeftCell="Y13" workbookViewId="0"/>
  </sheetViews>
  <sheetFormatPr defaultRowHeight="14.5" x14ac:dyDescent="0.35"/>
  <cols>
    <col min="1" max="1" width="54" customWidth="1"/>
    <col min="2" max="2" width="15.90625" customWidth="1"/>
    <col min="3" max="3" width="19.36328125" bestFit="1" customWidth="1"/>
    <col min="4" max="4" width="12.6328125" customWidth="1"/>
    <col min="5" max="5" width="28" bestFit="1" customWidth="1"/>
    <col min="6" max="6" width="13.6328125" customWidth="1"/>
    <col min="7" max="7" width="14.453125" customWidth="1"/>
    <col min="8" max="8" width="9.453125" customWidth="1"/>
    <col min="10" max="10" width="66" customWidth="1"/>
    <col min="11" max="11" width="17.08984375" customWidth="1"/>
    <col min="12" max="12" width="16.54296875" customWidth="1"/>
    <col min="13" max="13" width="20.08984375" customWidth="1"/>
    <col min="14" max="14" width="16.90625" customWidth="1"/>
    <col min="15" max="15" width="14.36328125" customWidth="1"/>
    <col min="16" max="16" width="11.54296875" customWidth="1"/>
    <col min="17" max="17" width="8.36328125" customWidth="1"/>
    <col min="18" max="18" width="67.54296875" customWidth="1"/>
    <col min="19" max="19" width="19.54296875" customWidth="1"/>
    <col min="20" max="20" width="8.36328125" customWidth="1"/>
    <col min="21" max="21" width="67.6328125" customWidth="1"/>
    <col min="22" max="22" width="19.453125" customWidth="1"/>
    <col min="23" max="23" width="22.453125" customWidth="1"/>
    <col min="24" max="24" width="25.90625" customWidth="1"/>
    <col min="25" max="25" width="17.6328125" customWidth="1"/>
    <col min="26" max="26" width="20.36328125" customWidth="1"/>
    <col min="27" max="27" width="7.6328125" customWidth="1"/>
    <col min="28" max="28" width="58.453125" customWidth="1"/>
    <col min="29" max="29" width="19.6328125" bestFit="1" customWidth="1"/>
    <col min="30" max="30" width="20" bestFit="1" customWidth="1"/>
    <col min="31" max="31" width="15.36328125" bestFit="1" customWidth="1"/>
    <col min="32" max="32" width="18.54296875" customWidth="1"/>
    <col min="34" max="34" width="55.08984375" customWidth="1"/>
    <col min="35" max="35" width="15.36328125" bestFit="1" customWidth="1"/>
    <col min="36" max="36" width="16" bestFit="1" customWidth="1"/>
    <col min="37" max="37" width="16" customWidth="1"/>
    <col min="38" max="38" width="15.36328125" bestFit="1" customWidth="1"/>
  </cols>
  <sheetData>
    <row r="1" spans="1:33" ht="21.5" thickBot="1" x14ac:dyDescent="0.55000000000000004">
      <c r="A1" s="70" t="s">
        <v>141</v>
      </c>
    </row>
    <row r="3" spans="1:33" x14ac:dyDescent="0.35">
      <c r="A3" t="s">
        <v>643</v>
      </c>
    </row>
    <row r="4" spans="1:33" x14ac:dyDescent="0.35">
      <c r="A4" t="s">
        <v>644</v>
      </c>
    </row>
    <row r="5" spans="1:33" ht="15" thickBot="1" x14ac:dyDescent="0.4"/>
    <row r="6" spans="1:33" x14ac:dyDescent="0.35">
      <c r="A6" s="277" t="s">
        <v>3</v>
      </c>
      <c r="B6" s="278" t="s">
        <v>28</v>
      </c>
      <c r="C6" s="278" t="s">
        <v>150</v>
      </c>
      <c r="D6" s="278" t="s">
        <v>65</v>
      </c>
      <c r="E6" s="278" t="s">
        <v>150</v>
      </c>
      <c r="F6" s="279" t="s">
        <v>30</v>
      </c>
      <c r="G6" s="280" t="s">
        <v>150</v>
      </c>
      <c r="H6" s="8"/>
    </row>
    <row r="7" spans="1:33" x14ac:dyDescent="0.35">
      <c r="A7" s="281"/>
      <c r="B7" s="1"/>
      <c r="C7" s="11"/>
      <c r="D7" s="65"/>
      <c r="E7" s="15"/>
      <c r="F7" s="28"/>
      <c r="G7" s="283"/>
      <c r="H7" s="8"/>
      <c r="I7" s="232"/>
      <c r="J7" t="s">
        <v>34</v>
      </c>
    </row>
    <row r="8" spans="1:33" x14ac:dyDescent="0.35">
      <c r="A8" s="298" t="s">
        <v>94</v>
      </c>
      <c r="B8" s="221">
        <v>11.87</v>
      </c>
      <c r="C8" s="11" t="s">
        <v>155</v>
      </c>
      <c r="D8" s="230">
        <v>12</v>
      </c>
      <c r="E8" s="65" t="s">
        <v>116</v>
      </c>
      <c r="F8" s="28">
        <f t="shared" ref="F8:F13" si="0">D8*B8*$D$14</f>
        <v>1709.28</v>
      </c>
      <c r="G8" s="283" t="s">
        <v>149</v>
      </c>
      <c r="H8" s="8"/>
      <c r="L8" s="58"/>
      <c r="N8" s="59"/>
      <c r="O8" s="6"/>
    </row>
    <row r="9" spans="1:33" x14ac:dyDescent="0.35">
      <c r="A9" s="298" t="s">
        <v>6</v>
      </c>
      <c r="B9" s="221">
        <v>17.510000000000002</v>
      </c>
      <c r="C9" s="11" t="s">
        <v>155</v>
      </c>
      <c r="D9" s="230">
        <v>1</v>
      </c>
      <c r="E9" s="65" t="s">
        <v>116</v>
      </c>
      <c r="F9" s="28">
        <f t="shared" si="0"/>
        <v>210.12</v>
      </c>
      <c r="G9" s="283" t="s">
        <v>149</v>
      </c>
      <c r="H9" s="8"/>
      <c r="I9" s="25"/>
      <c r="J9" t="s">
        <v>799</v>
      </c>
      <c r="L9" s="58"/>
      <c r="N9" s="59"/>
      <c r="O9" s="6"/>
    </row>
    <row r="10" spans="1:33" x14ac:dyDescent="0.35">
      <c r="A10" s="299" t="s">
        <v>93</v>
      </c>
      <c r="B10" s="221">
        <v>21.62</v>
      </c>
      <c r="C10" s="11" t="s">
        <v>155</v>
      </c>
      <c r="D10" s="230">
        <v>1</v>
      </c>
      <c r="E10" s="65" t="s">
        <v>116</v>
      </c>
      <c r="F10" s="28">
        <f t="shared" si="0"/>
        <v>259.44</v>
      </c>
      <c r="G10" s="283" t="s">
        <v>149</v>
      </c>
      <c r="H10" s="8"/>
      <c r="L10" s="58"/>
      <c r="N10" s="59"/>
      <c r="O10" s="6"/>
    </row>
    <row r="11" spans="1:33" x14ac:dyDescent="0.35">
      <c r="A11" s="299" t="s">
        <v>154</v>
      </c>
      <c r="B11" s="221">
        <v>19.829999999999998</v>
      </c>
      <c r="C11" s="11" t="s">
        <v>155</v>
      </c>
      <c r="D11" s="230">
        <v>0</v>
      </c>
      <c r="E11" s="65" t="s">
        <v>116</v>
      </c>
      <c r="F11" s="28">
        <f t="shared" si="0"/>
        <v>0</v>
      </c>
      <c r="G11" s="283" t="s">
        <v>149</v>
      </c>
      <c r="H11" s="8"/>
      <c r="I11" s="195"/>
      <c r="J11" t="s">
        <v>66</v>
      </c>
      <c r="L11" s="58"/>
      <c r="N11" s="59"/>
      <c r="O11" s="6"/>
    </row>
    <row r="12" spans="1:33" ht="15" thickBot="1" x14ac:dyDescent="0.4">
      <c r="A12" s="299" t="s">
        <v>153</v>
      </c>
      <c r="B12" s="221">
        <v>19.88</v>
      </c>
      <c r="C12" s="11" t="s">
        <v>155</v>
      </c>
      <c r="D12" s="230">
        <v>5</v>
      </c>
      <c r="E12" s="65" t="s">
        <v>116</v>
      </c>
      <c r="F12" s="28">
        <f t="shared" si="0"/>
        <v>1192.8</v>
      </c>
      <c r="G12" s="283" t="s">
        <v>149</v>
      </c>
      <c r="H12" s="8"/>
      <c r="L12" s="58"/>
      <c r="N12" s="59"/>
      <c r="O12" s="6"/>
    </row>
    <row r="13" spans="1:33" x14ac:dyDescent="0.35">
      <c r="A13" s="299" t="s">
        <v>95</v>
      </c>
      <c r="B13" s="221">
        <v>19.760000000000002</v>
      </c>
      <c r="C13" s="11" t="s">
        <v>155</v>
      </c>
      <c r="D13" s="230">
        <v>3</v>
      </c>
      <c r="E13" s="65" t="s">
        <v>116</v>
      </c>
      <c r="F13" s="28">
        <f t="shared" si="0"/>
        <v>711.36</v>
      </c>
      <c r="G13" s="283" t="s">
        <v>149</v>
      </c>
      <c r="H13" s="8"/>
      <c r="I13" s="137"/>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2"/>
    </row>
    <row r="14" spans="1:33" ht="29" x14ac:dyDescent="0.35">
      <c r="A14" s="301" t="s">
        <v>132</v>
      </c>
      <c r="B14" s="5"/>
      <c r="C14" s="11"/>
      <c r="D14" s="230">
        <v>12</v>
      </c>
      <c r="E14" s="65" t="s">
        <v>118</v>
      </c>
      <c r="F14" s="113">
        <f>D14</f>
        <v>12</v>
      </c>
      <c r="G14" s="302" t="s">
        <v>118</v>
      </c>
      <c r="H14" s="8"/>
      <c r="I14" s="124" t="s">
        <v>800</v>
      </c>
      <c r="J14" s="8"/>
      <c r="K14" s="8"/>
      <c r="L14" s="8"/>
      <c r="M14" s="8"/>
      <c r="N14" s="8"/>
      <c r="O14" s="8"/>
      <c r="P14" s="8"/>
      <c r="Q14" s="8"/>
      <c r="R14" s="8"/>
      <c r="S14" s="8"/>
      <c r="T14" s="8"/>
      <c r="U14" s="8"/>
      <c r="V14" s="8"/>
      <c r="W14" s="8"/>
      <c r="X14" s="8"/>
      <c r="Y14" s="8"/>
      <c r="Z14" s="8"/>
      <c r="AA14" s="8"/>
      <c r="AB14" s="8"/>
      <c r="AC14" s="8"/>
      <c r="AD14" s="8"/>
      <c r="AE14" s="8"/>
      <c r="AF14" s="8"/>
      <c r="AG14" s="126"/>
    </row>
    <row r="15" spans="1:33" x14ac:dyDescent="0.35">
      <c r="A15" s="301" t="s">
        <v>162</v>
      </c>
      <c r="B15" s="221">
        <v>123</v>
      </c>
      <c r="C15" s="11" t="s">
        <v>157</v>
      </c>
      <c r="D15" s="230">
        <f>SUM(D8:D13)</f>
        <v>22</v>
      </c>
      <c r="E15" s="65" t="s">
        <v>116</v>
      </c>
      <c r="F15" s="30">
        <f>D15*B15</f>
        <v>2706</v>
      </c>
      <c r="G15" s="303" t="s">
        <v>149</v>
      </c>
      <c r="H15" s="8"/>
      <c r="I15" s="124"/>
      <c r="J15" s="8"/>
      <c r="K15" s="8"/>
      <c r="L15" s="8"/>
      <c r="M15" s="8"/>
      <c r="N15" s="8"/>
      <c r="O15" s="8"/>
      <c r="P15" s="8"/>
      <c r="Q15" s="8"/>
      <c r="R15" s="8"/>
      <c r="S15" s="8"/>
      <c r="T15" s="8"/>
      <c r="U15" s="8"/>
      <c r="V15" s="8"/>
      <c r="W15" s="8"/>
      <c r="X15" s="8"/>
      <c r="Y15" s="8"/>
      <c r="Z15" s="8"/>
      <c r="AA15" s="8"/>
      <c r="AB15" s="8"/>
      <c r="AC15" s="8"/>
      <c r="AD15" s="8"/>
      <c r="AE15" s="8"/>
      <c r="AF15" s="8"/>
      <c r="AG15" s="126"/>
    </row>
    <row r="16" spans="1:33" x14ac:dyDescent="0.35">
      <c r="A16" s="281"/>
      <c r="B16" s="5"/>
      <c r="C16" s="11"/>
      <c r="D16" s="61"/>
      <c r="E16" s="15"/>
      <c r="F16" s="28"/>
      <c r="G16" s="283"/>
      <c r="H16" s="8"/>
      <c r="I16" s="233">
        <v>40</v>
      </c>
      <c r="J16" s="256" t="s">
        <v>802</v>
      </c>
      <c r="K16" s="8"/>
      <c r="L16" s="8"/>
      <c r="M16" s="8"/>
      <c r="N16" s="8"/>
      <c r="O16" s="8"/>
      <c r="P16" s="8"/>
      <c r="Q16" s="8"/>
      <c r="R16" s="8"/>
      <c r="S16" s="8"/>
      <c r="T16" s="8"/>
      <c r="U16" s="8"/>
      <c r="V16" s="8"/>
      <c r="W16" s="8"/>
      <c r="X16" s="8"/>
      <c r="Y16" s="8"/>
      <c r="Z16" s="8"/>
      <c r="AA16" s="8"/>
      <c r="AB16" s="8"/>
      <c r="AC16" s="8"/>
      <c r="AD16" s="8"/>
      <c r="AE16" s="8"/>
      <c r="AF16" s="8"/>
      <c r="AG16" s="126"/>
    </row>
    <row r="17" spans="1:33" ht="15" thickBot="1" x14ac:dyDescent="0.4">
      <c r="A17" s="304" t="s">
        <v>8</v>
      </c>
      <c r="B17" s="305"/>
      <c r="C17" s="306"/>
      <c r="D17" s="286"/>
      <c r="E17" s="307"/>
      <c r="F17" s="289">
        <f>SUM(F8:F15)</f>
        <v>6801</v>
      </c>
      <c r="G17" s="290" t="s">
        <v>149</v>
      </c>
      <c r="H17" s="8"/>
      <c r="I17" s="233">
        <v>150</v>
      </c>
      <c r="J17" s="256" t="s">
        <v>558</v>
      </c>
      <c r="K17" s="8"/>
      <c r="L17" s="8"/>
      <c r="M17" s="8"/>
      <c r="N17" s="8"/>
      <c r="O17" s="8"/>
      <c r="P17" s="8"/>
      <c r="Q17" s="8"/>
      <c r="R17" s="8"/>
      <c r="S17" s="8"/>
      <c r="T17" s="8"/>
      <c r="U17" s="8"/>
      <c r="V17" s="8"/>
      <c r="W17" s="8"/>
      <c r="X17" s="8"/>
      <c r="Y17" s="8"/>
      <c r="Z17" s="8"/>
      <c r="AA17" s="8"/>
      <c r="AB17" s="8"/>
      <c r="AC17" s="8"/>
      <c r="AD17" s="8"/>
      <c r="AE17" s="8"/>
      <c r="AF17" s="8"/>
      <c r="AG17" s="126"/>
    </row>
    <row r="18" spans="1:33" ht="15" thickBot="1" x14ac:dyDescent="0.4">
      <c r="A18" s="291"/>
      <c r="B18" s="292"/>
      <c r="C18" s="293"/>
      <c r="D18" s="294"/>
      <c r="E18" s="295"/>
      <c r="F18" s="296"/>
      <c r="G18" s="297"/>
      <c r="H18" s="8"/>
      <c r="I18" s="233">
        <v>300</v>
      </c>
      <c r="J18" s="256" t="s">
        <v>1256</v>
      </c>
      <c r="K18" s="8"/>
      <c r="L18" s="8"/>
      <c r="M18" s="8"/>
      <c r="N18" s="8"/>
      <c r="O18" s="8"/>
      <c r="P18" s="8"/>
      <c r="Q18" s="8"/>
      <c r="R18" s="8"/>
      <c r="S18" s="8"/>
      <c r="T18" s="8"/>
      <c r="U18" s="8"/>
      <c r="V18" s="8"/>
      <c r="W18" s="8"/>
      <c r="X18" s="8"/>
      <c r="Y18" s="8"/>
      <c r="Z18" s="8"/>
      <c r="AA18" s="8"/>
      <c r="AB18" s="8"/>
      <c r="AC18" s="8"/>
      <c r="AD18" s="8"/>
      <c r="AE18" s="8"/>
      <c r="AF18" s="8"/>
      <c r="AG18" s="126"/>
    </row>
    <row r="19" spans="1:33" ht="15.5" x14ac:dyDescent="0.35">
      <c r="A19" s="277" t="s">
        <v>601</v>
      </c>
      <c r="B19" s="278" t="s">
        <v>28</v>
      </c>
      <c r="C19" s="278" t="s">
        <v>150</v>
      </c>
      <c r="D19" s="278" t="s">
        <v>65</v>
      </c>
      <c r="E19" s="278" t="s">
        <v>150</v>
      </c>
      <c r="F19" s="279" t="s">
        <v>30</v>
      </c>
      <c r="G19" s="280" t="s">
        <v>150</v>
      </c>
      <c r="H19" s="215"/>
      <c r="I19" s="245"/>
      <c r="J19" s="175"/>
      <c r="K19" s="8"/>
      <c r="L19" s="8"/>
      <c r="M19" s="8"/>
      <c r="N19" s="8"/>
      <c r="O19" s="8"/>
      <c r="P19" s="8"/>
      <c r="Q19" s="8"/>
      <c r="R19" s="8"/>
      <c r="S19" s="8"/>
      <c r="T19" s="8"/>
      <c r="U19" s="8"/>
      <c r="V19" s="8"/>
      <c r="W19" s="8"/>
      <c r="X19" s="8"/>
      <c r="Y19" s="8"/>
      <c r="Z19" s="8"/>
      <c r="AA19" s="8"/>
      <c r="AB19" s="8"/>
      <c r="AC19" s="8"/>
      <c r="AD19" s="8"/>
      <c r="AE19" s="8"/>
      <c r="AF19" s="8"/>
      <c r="AG19" s="126"/>
    </row>
    <row r="20" spans="1:33" x14ac:dyDescent="0.35">
      <c r="A20" s="281"/>
      <c r="B20" s="282"/>
      <c r="C20" s="60"/>
      <c r="D20" s="61"/>
      <c r="E20" s="72"/>
      <c r="F20" s="75"/>
      <c r="G20" s="283"/>
      <c r="H20" s="8"/>
      <c r="I20" s="124" t="s">
        <v>801</v>
      </c>
      <c r="J20" s="8"/>
      <c r="K20" s="8"/>
      <c r="L20" s="8"/>
      <c r="M20" s="8"/>
      <c r="N20" s="8"/>
      <c r="O20" s="8"/>
      <c r="P20" s="8"/>
      <c r="Q20" s="8"/>
      <c r="R20" s="8"/>
      <c r="S20" s="8"/>
      <c r="T20" s="8"/>
      <c r="U20" s="8"/>
      <c r="V20" s="8"/>
      <c r="W20" s="8"/>
      <c r="X20" s="8"/>
      <c r="Y20" s="8"/>
      <c r="Z20" s="8"/>
      <c r="AA20" s="8"/>
      <c r="AB20" s="8"/>
      <c r="AC20" s="8"/>
      <c r="AD20" s="8"/>
      <c r="AE20" s="8"/>
      <c r="AF20" s="8"/>
      <c r="AG20" s="126"/>
    </row>
    <row r="21" spans="1:33" ht="15" thickBot="1" x14ac:dyDescent="0.4">
      <c r="A21" s="284" t="s">
        <v>11</v>
      </c>
      <c r="B21" s="285">
        <v>10.25</v>
      </c>
      <c r="C21" s="286" t="s">
        <v>120</v>
      </c>
      <c r="D21" s="287">
        <f>SUM(D8:D13)</f>
        <v>22</v>
      </c>
      <c r="E21" s="288" t="s">
        <v>156</v>
      </c>
      <c r="F21" s="289">
        <f>D21*B21</f>
        <v>225.5</v>
      </c>
      <c r="G21" s="290" t="s">
        <v>149</v>
      </c>
      <c r="H21" s="8"/>
      <c r="I21" s="124" t="s">
        <v>415</v>
      </c>
      <c r="J21" s="8"/>
      <c r="K21" s="8"/>
      <c r="L21" s="8"/>
      <c r="M21" s="8"/>
      <c r="N21" s="8"/>
      <c r="O21" s="8"/>
      <c r="P21" s="8"/>
      <c r="Q21" s="8"/>
      <c r="R21" s="8"/>
      <c r="S21" s="8"/>
      <c r="T21" s="8"/>
      <c r="U21" s="8"/>
      <c r="V21" s="8"/>
      <c r="W21" s="8"/>
      <c r="X21" s="8"/>
      <c r="Y21" s="8"/>
      <c r="Z21" s="8"/>
      <c r="AA21" s="8"/>
      <c r="AB21" s="8"/>
      <c r="AC21" s="8"/>
      <c r="AD21" s="8"/>
      <c r="AE21" s="8"/>
      <c r="AF21" s="8"/>
      <c r="AG21" s="126"/>
    </row>
    <row r="22" spans="1:33" x14ac:dyDescent="0.35">
      <c r="A22" s="25" t="s">
        <v>1207</v>
      </c>
      <c r="B22" s="221"/>
      <c r="C22" s="65"/>
      <c r="D22" s="230"/>
      <c r="E22" s="60"/>
      <c r="F22" s="115"/>
      <c r="G22" s="567" t="s">
        <v>1192</v>
      </c>
      <c r="I22" s="124"/>
      <c r="J22" s="8"/>
      <c r="K22" s="8"/>
      <c r="L22" s="8"/>
      <c r="M22" s="8"/>
      <c r="N22" s="8"/>
      <c r="O22" s="8"/>
      <c r="P22" s="8"/>
      <c r="Q22" s="8"/>
      <c r="R22" s="8"/>
      <c r="S22" s="8"/>
      <c r="T22" s="8"/>
      <c r="U22" s="8"/>
      <c r="V22" s="8"/>
      <c r="W22" s="8"/>
      <c r="X22" s="8"/>
      <c r="Y22" s="8"/>
      <c r="Z22" s="8"/>
      <c r="AA22" s="8"/>
      <c r="AB22" s="8"/>
      <c r="AC22" s="8"/>
      <c r="AD22" s="8"/>
      <c r="AE22" s="8"/>
      <c r="AF22" s="8"/>
      <c r="AG22" s="126"/>
    </row>
    <row r="23" spans="1:33" ht="15" thickBot="1" x14ac:dyDescent="0.4">
      <c r="A23" s="308"/>
      <c r="B23" s="309"/>
      <c r="C23" s="310"/>
      <c r="D23" s="311"/>
      <c r="E23" s="294"/>
      <c r="F23" s="296"/>
      <c r="G23" s="297"/>
      <c r="H23" s="8"/>
      <c r="I23" s="124"/>
      <c r="J23" s="8"/>
      <c r="K23" s="211" t="s">
        <v>559</v>
      </c>
      <c r="L23" s="211" t="s">
        <v>130</v>
      </c>
      <c r="M23" s="211" t="s">
        <v>883</v>
      </c>
      <c r="N23" s="211" t="s">
        <v>468</v>
      </c>
      <c r="O23" s="211" t="s">
        <v>30</v>
      </c>
      <c r="P23" s="8"/>
      <c r="Q23" s="8"/>
      <c r="R23" s="8"/>
      <c r="S23" s="214"/>
      <c r="T23" s="8"/>
      <c r="U23" s="8"/>
      <c r="V23" s="44" t="s">
        <v>475</v>
      </c>
      <c r="W23" s="44" t="s">
        <v>600</v>
      </c>
      <c r="X23" s="44" t="s">
        <v>474</v>
      </c>
      <c r="Y23" s="44" t="s">
        <v>468</v>
      </c>
      <c r="Z23" s="44" t="s">
        <v>30</v>
      </c>
      <c r="AA23" s="8"/>
      <c r="AB23" s="44" t="s">
        <v>472</v>
      </c>
      <c r="AC23" s="44" t="s">
        <v>473</v>
      </c>
      <c r="AD23" s="44" t="s">
        <v>480</v>
      </c>
      <c r="AE23" s="44" t="s">
        <v>884</v>
      </c>
      <c r="AF23" s="44" t="s">
        <v>75</v>
      </c>
      <c r="AG23" s="126"/>
    </row>
    <row r="24" spans="1:33" x14ac:dyDescent="0.35">
      <c r="A24" s="314" t="s">
        <v>20</v>
      </c>
      <c r="B24" s="278" t="s">
        <v>28</v>
      </c>
      <c r="C24" s="278" t="s">
        <v>150</v>
      </c>
      <c r="D24" s="278" t="s">
        <v>65</v>
      </c>
      <c r="E24" s="278" t="s">
        <v>150</v>
      </c>
      <c r="F24" s="279" t="s">
        <v>30</v>
      </c>
      <c r="G24" s="280" t="s">
        <v>150</v>
      </c>
      <c r="H24" s="8"/>
      <c r="I24" s="124"/>
      <c r="J24" s="176" t="s">
        <v>832</v>
      </c>
      <c r="K24" s="196">
        <f>(GIS_inputs!C50/($I$17*$I$16))</f>
        <v>65</v>
      </c>
      <c r="L24" s="196">
        <f>((GIS_inputs!C50*Depopulation!B76)/2000)/(($F$49*$F$50)+($F$52*$F$53)+($F$55*$F$56)+($F$58*$F$59))</f>
        <v>3120</v>
      </c>
      <c r="M24" s="196">
        <f>(((GIS_inputs!C50)*B76/2000)/$F$64)</f>
        <v>1462.5</v>
      </c>
      <c r="N24" s="196">
        <f>((GIS_inputs!C50*Depopulation!B76)/2000)/(($F$49*$F$50)+($F$52*$F$53)+($F$55*$F$56)+($F$58*$F$59))</f>
        <v>3120</v>
      </c>
      <c r="O24" s="518">
        <f>SUM(K24:N24)</f>
        <v>7767.5</v>
      </c>
      <c r="P24" s="123" t="s">
        <v>432</v>
      </c>
      <c r="Q24" s="8"/>
      <c r="R24" s="176" t="s">
        <v>840</v>
      </c>
      <c r="S24" s="199">
        <f>$F$15*$I$16*K24</f>
        <v>7035600</v>
      </c>
      <c r="T24" s="8"/>
      <c r="U24" s="2" t="s">
        <v>848</v>
      </c>
      <c r="V24" s="202">
        <f>($I$16*$F$21*K24)</f>
        <v>586300</v>
      </c>
      <c r="W24" s="203">
        <f>(($B$83*GIS_inputs!C50)/2000)*($F$43+$F$44)+($F$38*K24)</f>
        <v>22750</v>
      </c>
      <c r="X24" s="204">
        <f>(($F$30+$F$26+$F$28)+($H$17*($F$38)))*(K24/$K$39)+($F$39)*K24</f>
        <v>136216.42857142855</v>
      </c>
      <c r="Y24" s="204">
        <f>((((GIS_inputs!C50*Depopulation!B76)/2000)/(15))*($I$18*2*(IF($F$48&gt;0,$F$48,IF($F$51&gt;0,$F$51,IF($F$54&gt;0,$F$54,$F$57))))))+(($F$70+$F$71+$F$72+($F$69*K24))*(GIS_inputs!C50/GIS_inputs!$C$54))</f>
        <v>20466430</v>
      </c>
      <c r="Z24" s="205">
        <f>SUM(V24:Y24)</f>
        <v>21211696.428571429</v>
      </c>
      <c r="AA24" s="8"/>
      <c r="AB24" s="2" t="s">
        <v>855</v>
      </c>
      <c r="AC24" s="205">
        <f>S24</f>
        <v>7035600</v>
      </c>
      <c r="AD24" s="205">
        <f>Z24</f>
        <v>21211696.428571429</v>
      </c>
      <c r="AE24" s="204">
        <f>(((GIS_inputs!C50*Depopulation!B76)/2000)*($B$63))</f>
        <v>10530000</v>
      </c>
      <c r="AF24" s="205">
        <f>AC24+AD24+AE24</f>
        <v>38777296.428571433</v>
      </c>
      <c r="AG24" s="126"/>
    </row>
    <row r="25" spans="1:33" x14ac:dyDescent="0.35">
      <c r="A25" s="315"/>
      <c r="B25" s="4"/>
      <c r="C25" s="11"/>
      <c r="D25" s="31"/>
      <c r="E25" s="11"/>
      <c r="F25" s="11"/>
      <c r="G25" s="283"/>
      <c r="H25" s="8"/>
      <c r="I25" s="124"/>
      <c r="J25" s="177" t="s">
        <v>835</v>
      </c>
      <c r="K25" s="197">
        <f>(GIS_inputs!C51/($I$17*$I$16))</f>
        <v>0</v>
      </c>
      <c r="L25" s="197">
        <f>((GIS_inputs!C51*Depopulation!B77)/2000)/(($F$49*$F$50)+($F$52*$F$53)+($F$55*$F$56)+($F$58*$F$59))</f>
        <v>0</v>
      </c>
      <c r="M25" s="197">
        <f>(((GIS_inputs!C51)*B77/2000)/$F$64)</f>
        <v>0</v>
      </c>
      <c r="N25" s="197">
        <f>((GIS_inputs!C51*Depopulation!B77)/2000)/(($F$49*$F$50)+($F$52*$F$53)+($F$55*$F$56)+($F$58*$F$59))</f>
        <v>0</v>
      </c>
      <c r="O25" s="444">
        <f t="shared" ref="O25:O27" si="1">SUM(K25:N25)</f>
        <v>0</v>
      </c>
      <c r="P25" s="125" t="s">
        <v>432</v>
      </c>
      <c r="Q25" s="8"/>
      <c r="R25" s="177" t="s">
        <v>841</v>
      </c>
      <c r="S25" s="200">
        <f>$F$15*$I$16*K25</f>
        <v>0</v>
      </c>
      <c r="T25" s="8"/>
      <c r="U25" s="2" t="s">
        <v>849</v>
      </c>
      <c r="V25" s="202">
        <f>($I$16*$F$21*K25)</f>
        <v>0</v>
      </c>
      <c r="W25" s="203">
        <f>(($B$83*GIS_inputs!C51)/2000)*($F$43+$F$44)+($F$38*K25)</f>
        <v>0</v>
      </c>
      <c r="X25" s="204">
        <f t="shared" ref="X25:X27" si="2">(($F$30+$F$26+$F$28)+($H$17*($F$38)))*(K25/$K$39)+($F$39)*K25</f>
        <v>0</v>
      </c>
      <c r="Y25" s="204">
        <f>((((GIS_inputs!C51*Depopulation!B77)/2000)/(15))*($I$18*2*(IF($F$48&gt;0,$F$48,IF($F$51&gt;0,$F$51,IF($F$54&gt;0,$F$54,$F$57))))))+(($F$70+$F$71+$F$72+($F$69*K25))*(GIS_inputs!C51/GIS_inputs!$C$54))</f>
        <v>0</v>
      </c>
      <c r="Z25" s="205">
        <f>SUM(V25:Y25)</f>
        <v>0</v>
      </c>
      <c r="AA25" s="8"/>
      <c r="AB25" s="2" t="s">
        <v>856</v>
      </c>
      <c r="AC25" s="205">
        <f>S25</f>
        <v>0</v>
      </c>
      <c r="AD25" s="205">
        <f>Z25</f>
        <v>0</v>
      </c>
      <c r="AE25" s="204">
        <f>(((GIS_inputs!C51*Depopulation!B77)/2000)*($B$63))</f>
        <v>0</v>
      </c>
      <c r="AF25" s="205">
        <f>AC25+AD25+AE25</f>
        <v>0</v>
      </c>
      <c r="AG25" s="126"/>
    </row>
    <row r="26" spans="1:33" x14ac:dyDescent="0.35">
      <c r="A26" s="316" t="s">
        <v>158</v>
      </c>
      <c r="B26" s="221">
        <v>4000</v>
      </c>
      <c r="C26" s="11" t="s">
        <v>120</v>
      </c>
      <c r="D26" s="220">
        <v>0</v>
      </c>
      <c r="E26" s="11" t="s">
        <v>117</v>
      </c>
      <c r="F26" s="114">
        <f>D26*B26</f>
        <v>0</v>
      </c>
      <c r="G26" s="303" t="s">
        <v>376</v>
      </c>
      <c r="H26" s="8"/>
      <c r="I26" s="124"/>
      <c r="J26" s="177" t="s">
        <v>834</v>
      </c>
      <c r="K26" s="197">
        <f>(GIS_inputs!C52/($I$17*$I$16))</f>
        <v>0</v>
      </c>
      <c r="L26" s="197">
        <f>((GIS_inputs!C52*Depopulation!B78)/2000)/(($F$49*$F$50)+($F$52*$F$53)+($F$55*$F$56)+($F$58*$F$59))</f>
        <v>0</v>
      </c>
      <c r="M26" s="197">
        <f>(((GIS_inputs!C52)*B78/2000)/$F$64)</f>
        <v>0</v>
      </c>
      <c r="N26" s="197">
        <f>((GIS_inputs!C52*Depopulation!B78)/2000)/(($F$49*$F$50)+($F$52*$F$53)+($F$55*$F$56)+($F$58*$F$59))</f>
        <v>0</v>
      </c>
      <c r="O26" s="444">
        <f t="shared" si="1"/>
        <v>0</v>
      </c>
      <c r="P26" s="125" t="s">
        <v>432</v>
      </c>
      <c r="Q26" s="8"/>
      <c r="R26" s="177" t="s">
        <v>842</v>
      </c>
      <c r="S26" s="200">
        <f>$F$15*$I$16*K26</f>
        <v>0</v>
      </c>
      <c r="T26" s="8"/>
      <c r="U26" s="2" t="s">
        <v>850</v>
      </c>
      <c r="V26" s="202">
        <f>($I$16*$F$21*K26)</f>
        <v>0</v>
      </c>
      <c r="W26" s="203">
        <f>(($B$83*GIS_inputs!C52)/2000)*($F$43+$F$44)+($F$38*K26)</f>
        <v>0</v>
      </c>
      <c r="X26" s="204">
        <f t="shared" si="2"/>
        <v>0</v>
      </c>
      <c r="Y26" s="204">
        <f>((((GIS_inputs!C52*Depopulation!B78)/2000)/(15))*($I$18*2*(IF($F$48&gt;0,$F$48,IF($F$51&gt;0,$F$51,IF($F$54&gt;0,$F$54,$F$57))))))+(($F$70+$F$71+$F$72+($F$69*K26))*(GIS_inputs!C52/GIS_inputs!$C$54))</f>
        <v>0</v>
      </c>
      <c r="Z26" s="205">
        <f>SUM(V26:Y26)</f>
        <v>0</v>
      </c>
      <c r="AA26" s="8"/>
      <c r="AB26" s="2" t="s">
        <v>857</v>
      </c>
      <c r="AC26" s="205">
        <f>S26</f>
        <v>0</v>
      </c>
      <c r="AD26" s="205">
        <f>Z26</f>
        <v>0</v>
      </c>
      <c r="AE26" s="204">
        <f>(((GIS_inputs!C52*Depopulation!B78)/2000)*($B$63))</f>
        <v>0</v>
      </c>
      <c r="AF26" s="205">
        <f>AC26+AD26+AE26</f>
        <v>0</v>
      </c>
      <c r="AG26" s="126"/>
    </row>
    <row r="27" spans="1:33" x14ac:dyDescent="0.35">
      <c r="A27" s="316"/>
      <c r="B27" s="5"/>
      <c r="C27" s="11"/>
      <c r="D27" s="220">
        <v>1.5</v>
      </c>
      <c r="E27" s="11" t="s">
        <v>630</v>
      </c>
      <c r="F27" s="113">
        <f>D27*F14</f>
        <v>18</v>
      </c>
      <c r="G27" s="303" t="s">
        <v>151</v>
      </c>
      <c r="H27" s="8"/>
      <c r="I27" s="124"/>
      <c r="J27" s="177" t="s">
        <v>833</v>
      </c>
      <c r="K27" s="197">
        <f>(GIS_inputs!C53/($I$17*$I$16))</f>
        <v>0</v>
      </c>
      <c r="L27" s="197">
        <f>((GIS_inputs!C53*Depopulation!B79)/2000)/(($F$49*$F$50)+($F$52*$F$53)+($F$55*$F$56)+($F$58*$F$59))</f>
        <v>0</v>
      </c>
      <c r="M27" s="197">
        <f>(((GIS_inputs!C53)*B79/2000)/$F$64)</f>
        <v>0</v>
      </c>
      <c r="N27" s="197">
        <f>((GIS_inputs!C53*Depopulation!B79)/2000)/(($F$49*$F$50)+($F$52*$F$53)+($F$55*$F$56)+($F$58*$F$59))</f>
        <v>0</v>
      </c>
      <c r="O27" s="444">
        <f t="shared" si="1"/>
        <v>0</v>
      </c>
      <c r="P27" s="125" t="s">
        <v>432</v>
      </c>
      <c r="Q27" s="8"/>
      <c r="R27" s="177" t="s">
        <v>843</v>
      </c>
      <c r="S27" s="200">
        <f>$F$15*$I$16*K27</f>
        <v>0</v>
      </c>
      <c r="T27" s="8"/>
      <c r="U27" s="2" t="s">
        <v>851</v>
      </c>
      <c r="V27" s="202">
        <f>($I$16*$F$21*K27)</f>
        <v>0</v>
      </c>
      <c r="W27" s="203">
        <f>(($B$83*GIS_inputs!C53)/2000)*($F$43+$F$44)+($F$38*K27)</f>
        <v>0</v>
      </c>
      <c r="X27" s="204">
        <f t="shared" si="2"/>
        <v>0</v>
      </c>
      <c r="Y27" s="204">
        <f>((((GIS_inputs!C53*Depopulation!B79)/2000)/(15))*($I$18*2*(IF($F$48&gt;0,$F$48,IF($F$51&gt;0,$F$51,IF($F$54&gt;0,$F$54,$F$57))))))+(($F$70+$F$71+$F$72+($F$69*K27))*(GIS_inputs!C53/GIS_inputs!$C$54))</f>
        <v>0</v>
      </c>
      <c r="Z27" s="205">
        <f>SUM(V27:Y27)</f>
        <v>0</v>
      </c>
      <c r="AA27" s="8"/>
      <c r="AB27" s="2" t="s">
        <v>858</v>
      </c>
      <c r="AC27" s="205">
        <f>S27</f>
        <v>0</v>
      </c>
      <c r="AD27" s="205">
        <f>Z27</f>
        <v>0</v>
      </c>
      <c r="AE27" s="204">
        <f>(((GIS_inputs!C53*Depopulation!B79)/2000)*($B$63))</f>
        <v>0</v>
      </c>
      <c r="AF27" s="205">
        <f>AC27+AD27+AE27</f>
        <v>0</v>
      </c>
      <c r="AG27" s="126"/>
    </row>
    <row r="28" spans="1:33" x14ac:dyDescent="0.35">
      <c r="A28" s="316" t="s">
        <v>165</v>
      </c>
      <c r="B28" s="221">
        <v>161000</v>
      </c>
      <c r="C28" s="11" t="s">
        <v>120</v>
      </c>
      <c r="D28" s="220">
        <v>1</v>
      </c>
      <c r="E28" s="11" t="s">
        <v>117</v>
      </c>
      <c r="F28" s="114">
        <f>D28*B28</f>
        <v>161000</v>
      </c>
      <c r="G28" s="303" t="s">
        <v>376</v>
      </c>
      <c r="H28" s="8"/>
      <c r="I28" s="124"/>
      <c r="J28" s="124"/>
      <c r="K28" s="193"/>
      <c r="L28" s="193"/>
      <c r="M28" s="2"/>
      <c r="N28" s="8"/>
      <c r="O28" s="8"/>
      <c r="P28" s="126"/>
      <c r="Q28" s="8"/>
      <c r="R28" s="124"/>
      <c r="S28" s="181"/>
      <c r="T28" s="8"/>
      <c r="U28" s="8"/>
      <c r="V28" s="188"/>
      <c r="W28" s="188"/>
      <c r="X28" s="189"/>
      <c r="Y28" s="8"/>
      <c r="Z28" s="8"/>
      <c r="AA28" s="8"/>
      <c r="AB28" s="9"/>
      <c r="AC28" s="183"/>
      <c r="AD28" s="9"/>
      <c r="AE28" s="9"/>
      <c r="AF28" s="8"/>
      <c r="AG28" s="126"/>
    </row>
    <row r="29" spans="1:33" x14ac:dyDescent="0.35">
      <c r="A29" s="316"/>
      <c r="B29" s="5"/>
      <c r="C29" s="11"/>
      <c r="D29" s="220">
        <v>40</v>
      </c>
      <c r="E29" s="11" t="s">
        <v>630</v>
      </c>
      <c r="F29" s="113">
        <f>D29*F14</f>
        <v>480</v>
      </c>
      <c r="G29" s="303" t="s">
        <v>151</v>
      </c>
      <c r="H29" s="8"/>
      <c r="I29" s="124"/>
      <c r="J29" s="177" t="s">
        <v>836</v>
      </c>
      <c r="K29" s="197">
        <f>(GIS_inputs!C121/($I$17*$I$16))</f>
        <v>86.666666666666671</v>
      </c>
      <c r="L29" s="197">
        <f>((GIS_inputs!C121*Depopulation!B76)/2000)/(($F$49*$F$50)+($F$52*$F$53)+($F$55*$F$56)+($F$58*$F$59))</f>
        <v>4160</v>
      </c>
      <c r="M29" s="197">
        <f>(((GIS_inputs!C121)*B76/2000)/$F$64)</f>
        <v>1950</v>
      </c>
      <c r="N29" s="197">
        <f>((GIS_inputs!C121*Depopulation!B76)/2000)/(($F$49*$F$50)+($F$52*$F$53)+($F$55*$F$56)+($F$58*$F$59))</f>
        <v>4160</v>
      </c>
      <c r="O29" s="197">
        <f t="shared" ref="O29:O32" si="3">SUM(K29:N29)</f>
        <v>10356.666666666668</v>
      </c>
      <c r="P29" s="125" t="s">
        <v>432</v>
      </c>
      <c r="Q29" s="8"/>
      <c r="R29" s="177" t="s">
        <v>844</v>
      </c>
      <c r="S29" s="200">
        <f>$F$15*$I$16*K29</f>
        <v>9380800</v>
      </c>
      <c r="T29" s="8"/>
      <c r="U29" s="2" t="s">
        <v>852</v>
      </c>
      <c r="V29" s="204">
        <f>($I$16*$F$21*K29)</f>
        <v>781733.33333333337</v>
      </c>
      <c r="W29" s="204">
        <f>(($B$83*GIS_inputs!C121)/2000)*($F$43+$F$44)+($F$38*K29)</f>
        <v>30333.333333333336</v>
      </c>
      <c r="X29" s="204">
        <f>(($F$30+$F$26+$F$28)+($H$17*($F$38)))*(K29/$K$39)+($F$39)*K29</f>
        <v>181621.90476190476</v>
      </c>
      <c r="Y29" s="204">
        <f>((((GIS_inputs!C121*Depopulation!B76)/2000)/(15))*($I$18*2*(IF($F$48&gt;0,$F$48,IF($F$51&gt;0,$F$51,IF($F$54&gt;0,$F$54,$F$57))))))+(($F$70+$F$71+$F$72+($F$69*K29))*(GIS_inputs!C121/GIS_inputs!$C$125))</f>
        <v>27288396.666666668</v>
      </c>
      <c r="Z29" s="205">
        <f>SUM(V29:Y29)</f>
        <v>28282085.238095239</v>
      </c>
      <c r="AA29" s="8"/>
      <c r="AB29" s="2" t="s">
        <v>859</v>
      </c>
      <c r="AC29" s="205">
        <f>S29</f>
        <v>9380800</v>
      </c>
      <c r="AD29" s="205">
        <f>Z29</f>
        <v>28282085.238095239</v>
      </c>
      <c r="AE29" s="204">
        <f>(((GIS_inputs!C121*Depopulation!B76)/2000)*($B$63))</f>
        <v>14040000</v>
      </c>
      <c r="AF29" s="205">
        <f>AC29+AD29+AE29</f>
        <v>51702885.238095239</v>
      </c>
      <c r="AG29" s="126"/>
    </row>
    <row r="30" spans="1:33" x14ac:dyDescent="0.35">
      <c r="A30" s="316" t="s">
        <v>605</v>
      </c>
      <c r="B30" s="221">
        <v>76000</v>
      </c>
      <c r="C30" s="11" t="s">
        <v>120</v>
      </c>
      <c r="D30" s="220">
        <v>1</v>
      </c>
      <c r="E30" s="11" t="s">
        <v>117</v>
      </c>
      <c r="F30" s="114">
        <f>D30*B30</f>
        <v>76000</v>
      </c>
      <c r="G30" s="303" t="s">
        <v>376</v>
      </c>
      <c r="H30" s="8"/>
      <c r="I30" s="124"/>
      <c r="J30" s="177" t="s">
        <v>837</v>
      </c>
      <c r="K30" s="197">
        <f>(GIS_inputs!C122/($I$17*$I$16))</f>
        <v>0</v>
      </c>
      <c r="L30" s="197">
        <f>((GIS_inputs!C122*Depopulation!B77)/2000)/(($F$49*$F$50)+($F$52*$F$53)+($F$55*$F$56)+($F$58*$F$59))</f>
        <v>0</v>
      </c>
      <c r="M30" s="197">
        <f>(((GIS_inputs!C122)*B77/2000)/$F$64)</f>
        <v>0</v>
      </c>
      <c r="N30" s="197">
        <f>((GIS_inputs!C122*Depopulation!B77)/2000)/(($F$49*$F$50)+($F$52*$F$53)+($F$55*$F$56)+($F$58*$F$59))</f>
        <v>0</v>
      </c>
      <c r="O30" s="444">
        <f t="shared" si="3"/>
        <v>0</v>
      </c>
      <c r="P30" s="125" t="s">
        <v>432</v>
      </c>
      <c r="Q30" s="8"/>
      <c r="R30" s="177" t="s">
        <v>845</v>
      </c>
      <c r="S30" s="200">
        <f>$F$15*$I$16*K30</f>
        <v>0</v>
      </c>
      <c r="T30" s="8"/>
      <c r="U30" s="2" t="s">
        <v>853</v>
      </c>
      <c r="V30" s="202">
        <f>($I$16*$F$21*K30)</f>
        <v>0</v>
      </c>
      <c r="W30" s="203">
        <f>(($B$83*GIS_inputs!C122)/2000)*($F$43+$F$44)+($F$38*K30)</f>
        <v>0</v>
      </c>
      <c r="X30" s="204">
        <f t="shared" ref="X30:X32" si="4">(($F$30+$F$26+$F$28)+($H$17*($F$38)))*(K30/$K$39)+($F$39)*K30</f>
        <v>0</v>
      </c>
      <c r="Y30" s="204">
        <f>((((GIS_inputs!C122*Depopulation!B77)/2000)/(15))*($I$18*2*(IF($F$48&gt;0,$F$48,IF($F$51&gt;0,$F$51,IF($F$54&gt;0,$F$54,$F$57))))))+(($F$70+$F$71+$F$72+($F$69*K30))*(GIS_inputs!C122/GIS_inputs!$C$125))</f>
        <v>0</v>
      </c>
      <c r="Z30" s="205">
        <f>SUM(V30:Y30)</f>
        <v>0</v>
      </c>
      <c r="AA30" s="8"/>
      <c r="AB30" s="2" t="s">
        <v>860</v>
      </c>
      <c r="AC30" s="205">
        <f>S30</f>
        <v>0</v>
      </c>
      <c r="AD30" s="205">
        <f>Z30</f>
        <v>0</v>
      </c>
      <c r="AE30" s="204">
        <f>(((GIS_inputs!C122*Depopulation!B77)/2000)*($B$63))</f>
        <v>0</v>
      </c>
      <c r="AF30" s="205">
        <f>AC30+AD30+AE30</f>
        <v>0</v>
      </c>
      <c r="AG30" s="126"/>
    </row>
    <row r="31" spans="1:33" x14ac:dyDescent="0.35">
      <c r="A31" s="419" t="s">
        <v>129</v>
      </c>
      <c r="B31" s="221">
        <v>35</v>
      </c>
      <c r="C31" s="11" t="s">
        <v>155</v>
      </c>
      <c r="D31" s="220">
        <v>1</v>
      </c>
      <c r="E31" s="11" t="s">
        <v>117</v>
      </c>
      <c r="F31" s="225">
        <f>D31*B31*8</f>
        <v>280</v>
      </c>
      <c r="G31" s="410" t="s">
        <v>149</v>
      </c>
      <c r="H31" s="9"/>
      <c r="I31" s="124"/>
      <c r="J31" s="177" t="s">
        <v>839</v>
      </c>
      <c r="K31" s="197">
        <f>(GIS_inputs!C123/($I$17*$I$16))</f>
        <v>0</v>
      </c>
      <c r="L31" s="197">
        <f>((GIS_inputs!C123*Depopulation!B78)/2000)/(($F$49*$F$50)+($F$52*$F$53)+($F$55*$F$56)+($F$58*$F$59))</f>
        <v>0</v>
      </c>
      <c r="M31" s="197">
        <f>(((GIS_inputs!C123)*B78/2000)/$F$64)</f>
        <v>0</v>
      </c>
      <c r="N31" s="197">
        <f>((GIS_inputs!C123*Depopulation!B78)/2000)/(($F$49*$F$50)+($F$52*$F$53)+($F$55*$F$56)+($F$58*$F$59))</f>
        <v>0</v>
      </c>
      <c r="O31" s="444">
        <f t="shared" si="3"/>
        <v>0</v>
      </c>
      <c r="P31" s="125" t="s">
        <v>432</v>
      </c>
      <c r="Q31" s="8"/>
      <c r="R31" s="177" t="s">
        <v>846</v>
      </c>
      <c r="S31" s="200">
        <f>$F$15*$I$16*K31</f>
        <v>0</v>
      </c>
      <c r="T31" s="8"/>
      <c r="U31" s="2" t="s">
        <v>861</v>
      </c>
      <c r="V31" s="202">
        <f>($I$16*$F$21*K31)</f>
        <v>0</v>
      </c>
      <c r="W31" s="203">
        <f>(($B$83*GIS_inputs!C123)/2000)*($F$43+$F$44)+($F$38*K31)</f>
        <v>0</v>
      </c>
      <c r="X31" s="204">
        <f t="shared" si="4"/>
        <v>0</v>
      </c>
      <c r="Y31" s="204">
        <f>((((GIS_inputs!C123*Depopulation!B78)/2000)/(15))*($I$18*2*(IF($F$48&gt;0,$F$48,IF($F$51&gt;0,$F$51,IF($F$54&gt;0,$F$54,$F$57))))))+(($F$70+$F$71+$F$72+($F$69*K31))*(GIS_inputs!C123/GIS_inputs!$C$125))</f>
        <v>0</v>
      </c>
      <c r="Z31" s="205">
        <f>SUM(V31:Y31)</f>
        <v>0</v>
      </c>
      <c r="AA31" s="8"/>
      <c r="AB31" s="2" t="s">
        <v>862</v>
      </c>
      <c r="AC31" s="205">
        <f>S31</f>
        <v>0</v>
      </c>
      <c r="AD31" s="205">
        <f>Z31</f>
        <v>0</v>
      </c>
      <c r="AE31" s="204">
        <f>(((GIS_inputs!C123*Depopulation!B78)/2000)*($B$63))</f>
        <v>0</v>
      </c>
      <c r="AF31" s="205">
        <f>AC31+AD31+AE31</f>
        <v>0</v>
      </c>
      <c r="AG31" s="126"/>
    </row>
    <row r="32" spans="1:33" x14ac:dyDescent="0.35">
      <c r="A32" s="419" t="s">
        <v>366</v>
      </c>
      <c r="B32" s="221">
        <v>40</v>
      </c>
      <c r="C32" s="11" t="s">
        <v>120</v>
      </c>
      <c r="D32" s="220">
        <v>5</v>
      </c>
      <c r="E32" s="11" t="s">
        <v>117</v>
      </c>
      <c r="F32" s="225">
        <f>D32*B32</f>
        <v>200</v>
      </c>
      <c r="G32" s="410" t="s">
        <v>1192</v>
      </c>
      <c r="H32" s="9"/>
      <c r="I32" s="124"/>
      <c r="J32" s="177" t="s">
        <v>838</v>
      </c>
      <c r="K32" s="197">
        <f>(GIS_inputs!C124/($I$17*$I$16))</f>
        <v>0</v>
      </c>
      <c r="L32" s="197">
        <f>((GIS_inputs!C124*Depopulation!B79)/2000)/(($F$49*$F$50)+($F$52*$F$53)+($F$55*$F$56)+($F$58*$F$59))</f>
        <v>0</v>
      </c>
      <c r="M32" s="197">
        <f>(((GIS_inputs!C124)*B79/2000)/$F$64)</f>
        <v>0</v>
      </c>
      <c r="N32" s="197">
        <f>((GIS_inputs!C124*Depopulation!B79)/2000)/(($F$49*$F$50)+($F$52*$F$53)+($F$55*$F$56)+($F$58*$F$59))</f>
        <v>0</v>
      </c>
      <c r="O32" s="444">
        <f t="shared" si="3"/>
        <v>0</v>
      </c>
      <c r="P32" s="125" t="s">
        <v>432</v>
      </c>
      <c r="Q32" s="8"/>
      <c r="R32" s="177" t="s">
        <v>847</v>
      </c>
      <c r="S32" s="200">
        <f>$F$15*$I$16*K32</f>
        <v>0</v>
      </c>
      <c r="T32" s="8"/>
      <c r="U32" s="2" t="s">
        <v>854</v>
      </c>
      <c r="V32" s="202">
        <f>($I$16*$F$21*K32)</f>
        <v>0</v>
      </c>
      <c r="W32" s="203">
        <f>(($B$83*GIS_inputs!C124)/2000)*($F$43+$F$44)+($F$38*K32)</f>
        <v>0</v>
      </c>
      <c r="X32" s="204">
        <f t="shared" si="4"/>
        <v>0</v>
      </c>
      <c r="Y32" s="204">
        <f>((((GIS_inputs!C124*Depopulation!B79)/2000)/(15))*($I$18*2*(IF($F$48&gt;0,$F$48,IF($F$51&gt;0,$F$51,IF($F$54&gt;0,$F$54,$F$57))))))+(($F$70+$F$71+$F$72+($F$69*K32))*(GIS_inputs!C124/GIS_inputs!$C$125))</f>
        <v>0</v>
      </c>
      <c r="Z32" s="205">
        <f>SUM(V32:Y32)</f>
        <v>0</v>
      </c>
      <c r="AA32" s="8"/>
      <c r="AB32" s="2" t="s">
        <v>863</v>
      </c>
      <c r="AC32" s="205">
        <f>S32</f>
        <v>0</v>
      </c>
      <c r="AD32" s="205">
        <f>Z32</f>
        <v>0</v>
      </c>
      <c r="AE32" s="204">
        <f>(((GIS_inputs!C124*Depopulation!B79)/2000)*($B$63))</f>
        <v>0</v>
      </c>
      <c r="AF32" s="205">
        <f>AC32+AD32+AE32</f>
        <v>0</v>
      </c>
      <c r="AG32" s="126"/>
    </row>
    <row r="33" spans="1:33" x14ac:dyDescent="0.35">
      <c r="A33" s="419" t="s">
        <v>365</v>
      </c>
      <c r="B33" s="221">
        <v>30</v>
      </c>
      <c r="C33" s="11" t="s">
        <v>120</v>
      </c>
      <c r="D33" s="220">
        <v>5</v>
      </c>
      <c r="E33" s="11" t="s">
        <v>117</v>
      </c>
      <c r="F33" s="225">
        <f>D33*B33</f>
        <v>150</v>
      </c>
      <c r="G33" s="410" t="s">
        <v>1192</v>
      </c>
      <c r="H33" s="8"/>
      <c r="I33" s="124"/>
      <c r="J33" s="124"/>
      <c r="K33" s="193"/>
      <c r="L33" s="193"/>
      <c r="M33" s="8"/>
      <c r="N33" s="8"/>
      <c r="O33" s="8"/>
      <c r="P33" s="126"/>
      <c r="Q33" s="8"/>
      <c r="R33" s="124"/>
      <c r="S33" s="181"/>
      <c r="T33" s="8"/>
      <c r="U33" s="8"/>
      <c r="V33" s="188"/>
      <c r="W33" s="188"/>
      <c r="X33" s="189"/>
      <c r="Y33" s="8"/>
      <c r="Z33" s="8"/>
      <c r="AA33" s="8"/>
      <c r="AB33" s="8"/>
      <c r="AC33" s="184"/>
      <c r="AD33" s="8"/>
      <c r="AE33" s="8"/>
      <c r="AF33" s="8"/>
      <c r="AG33" s="126"/>
    </row>
    <row r="34" spans="1:33" x14ac:dyDescent="0.35">
      <c r="A34" s="419" t="s">
        <v>364</v>
      </c>
      <c r="B34" s="221">
        <v>745</v>
      </c>
      <c r="C34" s="11" t="s">
        <v>163</v>
      </c>
      <c r="D34" s="220">
        <v>1</v>
      </c>
      <c r="E34" s="11" t="s">
        <v>117</v>
      </c>
      <c r="F34" s="225">
        <f>D34*B34/7</f>
        <v>106.42857142857143</v>
      </c>
      <c r="G34" s="410" t="s">
        <v>149</v>
      </c>
      <c r="H34" s="8"/>
      <c r="I34" s="124"/>
      <c r="J34" s="177" t="s">
        <v>869</v>
      </c>
      <c r="K34" s="212">
        <f>K29+K24</f>
        <v>151.66666666666669</v>
      </c>
      <c r="L34" s="197">
        <f>L24+L29</f>
        <v>7280</v>
      </c>
      <c r="M34" s="212">
        <f>M29+M24</f>
        <v>3412.5</v>
      </c>
      <c r="N34" s="212">
        <f>N29+N24</f>
        <v>7280</v>
      </c>
      <c r="O34" s="212">
        <f>O24+O29</f>
        <v>18124.166666666668</v>
      </c>
      <c r="P34" s="125" t="s">
        <v>432</v>
      </c>
      <c r="Q34" s="8"/>
      <c r="R34" s="177" t="s">
        <v>874</v>
      </c>
      <c r="S34" s="200">
        <f>S24+S29</f>
        <v>16416400</v>
      </c>
      <c r="T34" s="8"/>
      <c r="U34" s="2" t="s">
        <v>865</v>
      </c>
      <c r="V34" s="204">
        <f>V29+V24</f>
        <v>1368033.3333333335</v>
      </c>
      <c r="W34" s="223">
        <f>W29+W24</f>
        <v>53083.333333333336</v>
      </c>
      <c r="X34" s="223">
        <f>X29+X24</f>
        <v>317838.33333333331</v>
      </c>
      <c r="Y34" s="223">
        <f>Y29+Y24</f>
        <v>47754826.666666672</v>
      </c>
      <c r="Z34" s="205">
        <f>SUM(V34:Y34)</f>
        <v>49493781.666666672</v>
      </c>
      <c r="AA34" s="8"/>
      <c r="AB34" s="2" t="s">
        <v>864</v>
      </c>
      <c r="AC34" s="205">
        <f>S34</f>
        <v>16416400</v>
      </c>
      <c r="AD34" s="205">
        <f>Z34</f>
        <v>49493781.666666672</v>
      </c>
      <c r="AE34" s="205">
        <f>AE24+AE29</f>
        <v>24570000</v>
      </c>
      <c r="AF34" s="205">
        <f>AC34+AD34+AE34</f>
        <v>90480181.666666672</v>
      </c>
      <c r="AG34" s="126"/>
    </row>
    <row r="35" spans="1:33" x14ac:dyDescent="0.35">
      <c r="A35" s="531" t="s">
        <v>374</v>
      </c>
      <c r="B35" s="221">
        <v>513</v>
      </c>
      <c r="C35" s="11" t="s">
        <v>163</v>
      </c>
      <c r="D35" s="220">
        <v>2</v>
      </c>
      <c r="E35" s="11" t="s">
        <v>117</v>
      </c>
      <c r="F35" s="33">
        <f>D35*B35/7</f>
        <v>146.57142857142858</v>
      </c>
      <c r="G35" s="410" t="s">
        <v>149</v>
      </c>
      <c r="H35" s="8"/>
      <c r="I35" s="124"/>
      <c r="J35" s="177" t="s">
        <v>870</v>
      </c>
      <c r="K35" s="212">
        <f t="shared" ref="K35:N37" si="5">K30+K25</f>
        <v>0</v>
      </c>
      <c r="L35" s="197">
        <f>L25+L30</f>
        <v>0</v>
      </c>
      <c r="M35" s="212">
        <f t="shared" si="5"/>
        <v>0</v>
      </c>
      <c r="N35" s="212">
        <f t="shared" si="5"/>
        <v>0</v>
      </c>
      <c r="O35" s="212">
        <f t="shared" ref="O35:O37" si="6">O25+O30</f>
        <v>0</v>
      </c>
      <c r="P35" s="125" t="s">
        <v>432</v>
      </c>
      <c r="Q35" s="8"/>
      <c r="R35" s="177" t="s">
        <v>873</v>
      </c>
      <c r="S35" s="200">
        <f>S25+S30</f>
        <v>0</v>
      </c>
      <c r="T35" s="8"/>
      <c r="U35" s="2" t="s">
        <v>866</v>
      </c>
      <c r="V35" s="204">
        <f t="shared" ref="V35:Y37" si="7">V30+V25</f>
        <v>0</v>
      </c>
      <c r="W35" s="223">
        <f t="shared" si="7"/>
        <v>0</v>
      </c>
      <c r="X35" s="223">
        <f t="shared" si="7"/>
        <v>0</v>
      </c>
      <c r="Y35" s="223">
        <f t="shared" si="7"/>
        <v>0</v>
      </c>
      <c r="Z35" s="205">
        <f>SUM(V35:Y35)</f>
        <v>0</v>
      </c>
      <c r="AA35" s="8"/>
      <c r="AB35" s="2" t="s">
        <v>877</v>
      </c>
      <c r="AC35" s="205">
        <f>S35</f>
        <v>0</v>
      </c>
      <c r="AD35" s="205">
        <f>Z35</f>
        <v>0</v>
      </c>
      <c r="AE35" s="205">
        <f t="shared" ref="AE35:AE37" si="8">AE25+AE30</f>
        <v>0</v>
      </c>
      <c r="AF35" s="205">
        <f>AC35+AD35+AE35</f>
        <v>0</v>
      </c>
      <c r="AG35" s="126"/>
    </row>
    <row r="36" spans="1:33" x14ac:dyDescent="0.35">
      <c r="A36" s="532" t="s">
        <v>1208</v>
      </c>
      <c r="B36" s="221"/>
      <c r="C36" s="11"/>
      <c r="D36" s="220"/>
      <c r="E36" s="11"/>
      <c r="F36" s="33"/>
      <c r="G36" s="410" t="s">
        <v>1192</v>
      </c>
      <c r="H36" s="8"/>
      <c r="I36" s="124"/>
      <c r="J36" s="177" t="s">
        <v>871</v>
      </c>
      <c r="K36" s="212">
        <f t="shared" si="5"/>
        <v>0</v>
      </c>
      <c r="L36" s="197">
        <f>L26+L31</f>
        <v>0</v>
      </c>
      <c r="M36" s="212">
        <f t="shared" si="5"/>
        <v>0</v>
      </c>
      <c r="N36" s="212">
        <f t="shared" si="5"/>
        <v>0</v>
      </c>
      <c r="O36" s="212">
        <f t="shared" si="6"/>
        <v>0</v>
      </c>
      <c r="P36" s="125" t="s">
        <v>432</v>
      </c>
      <c r="Q36" s="8"/>
      <c r="R36" s="177" t="s">
        <v>875</v>
      </c>
      <c r="S36" s="200">
        <f>S26+S31</f>
        <v>0</v>
      </c>
      <c r="T36" s="8"/>
      <c r="U36" s="2" t="s">
        <v>867</v>
      </c>
      <c r="V36" s="204">
        <f t="shared" si="7"/>
        <v>0</v>
      </c>
      <c r="W36" s="223">
        <f t="shared" si="7"/>
        <v>0</v>
      </c>
      <c r="X36" s="223">
        <f t="shared" si="7"/>
        <v>0</v>
      </c>
      <c r="Y36" s="223">
        <f t="shared" si="7"/>
        <v>0</v>
      </c>
      <c r="Z36" s="205">
        <f>SUM(V36:Y36)</f>
        <v>0</v>
      </c>
      <c r="AA36" s="8"/>
      <c r="AB36" s="2" t="s">
        <v>878</v>
      </c>
      <c r="AC36" s="205">
        <f>S36</f>
        <v>0</v>
      </c>
      <c r="AD36" s="205">
        <f>Z36</f>
        <v>0</v>
      </c>
      <c r="AE36" s="205">
        <f t="shared" si="8"/>
        <v>0</v>
      </c>
      <c r="AF36" s="205">
        <f>AC36+AD36+AE36</f>
        <v>0</v>
      </c>
      <c r="AG36" s="126"/>
    </row>
    <row r="37" spans="1:33" x14ac:dyDescent="0.35">
      <c r="A37" s="559"/>
      <c r="B37" s="5"/>
      <c r="C37" s="272"/>
      <c r="D37" s="561"/>
      <c r="E37" s="272"/>
      <c r="F37" s="560"/>
      <c r="G37" s="541"/>
      <c r="H37" s="8"/>
      <c r="I37" s="124"/>
      <c r="J37" s="177" t="s">
        <v>872</v>
      </c>
      <c r="K37" s="212">
        <f t="shared" si="5"/>
        <v>0</v>
      </c>
      <c r="L37" s="197">
        <f>L27+L32</f>
        <v>0</v>
      </c>
      <c r="M37" s="212">
        <f t="shared" si="5"/>
        <v>0</v>
      </c>
      <c r="N37" s="212">
        <f t="shared" si="5"/>
        <v>0</v>
      </c>
      <c r="O37" s="212">
        <f t="shared" si="6"/>
        <v>0</v>
      </c>
      <c r="P37" s="125" t="s">
        <v>432</v>
      </c>
      <c r="Q37" s="8"/>
      <c r="R37" s="177" t="s">
        <v>876</v>
      </c>
      <c r="S37" s="200">
        <f>S27+S32</f>
        <v>0</v>
      </c>
      <c r="T37" s="8"/>
      <c r="U37" s="2" t="s">
        <v>868</v>
      </c>
      <c r="V37" s="204">
        <f t="shared" si="7"/>
        <v>0</v>
      </c>
      <c r="W37" s="223">
        <f t="shared" si="7"/>
        <v>0</v>
      </c>
      <c r="X37" s="223">
        <f t="shared" si="7"/>
        <v>0</v>
      </c>
      <c r="Y37" s="223">
        <f t="shared" si="7"/>
        <v>0</v>
      </c>
      <c r="Z37" s="205">
        <f>SUM(V37:Y37)</f>
        <v>0</v>
      </c>
      <c r="AA37" s="8"/>
      <c r="AB37" s="2" t="s">
        <v>879</v>
      </c>
      <c r="AC37" s="205">
        <f>S37</f>
        <v>0</v>
      </c>
      <c r="AD37" s="205">
        <f>Z37</f>
        <v>0</v>
      </c>
      <c r="AE37" s="205">
        <f t="shared" si="8"/>
        <v>0</v>
      </c>
      <c r="AF37" s="205">
        <f>AC37+AD37+AE37</f>
        <v>0</v>
      </c>
      <c r="AG37" s="126"/>
    </row>
    <row r="38" spans="1:33" x14ac:dyDescent="0.35">
      <c r="A38" s="341" t="s">
        <v>87</v>
      </c>
      <c r="B38" s="1"/>
      <c r="C38" s="65"/>
      <c r="D38" s="50"/>
      <c r="E38" s="50"/>
      <c r="F38" s="30">
        <f>F32+F33+F36</f>
        <v>350</v>
      </c>
      <c r="G38" s="420" t="s">
        <v>376</v>
      </c>
      <c r="H38" s="8"/>
      <c r="I38" s="124"/>
      <c r="J38" s="124"/>
      <c r="K38" s="193"/>
      <c r="L38" s="193"/>
      <c r="M38" s="8"/>
      <c r="N38" s="8"/>
      <c r="O38" s="8"/>
      <c r="P38" s="126"/>
      <c r="Q38" s="8"/>
      <c r="R38" s="124"/>
      <c r="S38" s="181"/>
      <c r="T38" s="8"/>
      <c r="U38" s="2"/>
      <c r="V38" s="185"/>
      <c r="W38" s="186"/>
      <c r="X38" s="186"/>
      <c r="Y38" s="186"/>
      <c r="Z38" s="187"/>
      <c r="AA38" s="8"/>
      <c r="AB38" s="2"/>
      <c r="AC38" s="182"/>
      <c r="AD38" s="2"/>
      <c r="AE38" s="2"/>
      <c r="AF38" s="2"/>
      <c r="AG38" s="126"/>
    </row>
    <row r="39" spans="1:33" ht="15" thickBot="1" x14ac:dyDescent="0.4">
      <c r="A39" s="284" t="s">
        <v>105</v>
      </c>
      <c r="B39" s="305"/>
      <c r="C39" s="286"/>
      <c r="D39" s="306"/>
      <c r="E39" s="306"/>
      <c r="F39" s="289">
        <f>F31+F34+F35</f>
        <v>533</v>
      </c>
      <c r="G39" s="290" t="s">
        <v>149</v>
      </c>
      <c r="H39" s="224"/>
      <c r="I39" s="124"/>
      <c r="J39" s="178" t="s">
        <v>803</v>
      </c>
      <c r="K39" s="213">
        <f>SUM(K34:K37)</f>
        <v>151.66666666666669</v>
      </c>
      <c r="L39" s="213">
        <f>SUM(L34:L37)</f>
        <v>7280</v>
      </c>
      <c r="M39" s="213">
        <f>SUM(M34:M37)</f>
        <v>3412.5</v>
      </c>
      <c r="N39" s="213">
        <f>SUM(N34:N37)</f>
        <v>7280</v>
      </c>
      <c r="O39" s="213">
        <f>SUM(O34:O37)</f>
        <v>18124.166666666668</v>
      </c>
      <c r="P39" s="129" t="s">
        <v>432</v>
      </c>
      <c r="Q39" s="8"/>
      <c r="R39" s="178" t="s">
        <v>804</v>
      </c>
      <c r="S39" s="201">
        <f>SUM(S34:S37)</f>
        <v>16416400</v>
      </c>
      <c r="T39" s="8"/>
      <c r="U39" s="4" t="s">
        <v>805</v>
      </c>
      <c r="V39" s="204">
        <f>SUM(V34:V37)</f>
        <v>1368033.3333333335</v>
      </c>
      <c r="W39" s="207">
        <f>SUM(W34:W37)</f>
        <v>53083.333333333336</v>
      </c>
      <c r="X39" s="207">
        <f>SUM(X34:X37)</f>
        <v>317838.33333333331</v>
      </c>
      <c r="Y39" s="207">
        <f>SUM(Y34:Y37)</f>
        <v>47754826.666666672</v>
      </c>
      <c r="Z39" s="205">
        <f>SUM(V39:Y39)</f>
        <v>49493781.666666672</v>
      </c>
      <c r="AA39" s="8"/>
      <c r="AB39" s="4" t="s">
        <v>807</v>
      </c>
      <c r="AC39" s="208">
        <f>SUM(AC34:AC37)</f>
        <v>16416400</v>
      </c>
      <c r="AD39" s="208">
        <f>SUM(AD34:AD37)</f>
        <v>49493781.666666672</v>
      </c>
      <c r="AE39" s="208">
        <f>SUM(AE34:AE37)</f>
        <v>24570000</v>
      </c>
      <c r="AF39" s="208">
        <f>SUM(AF34:AF37)</f>
        <v>90480181.666666672</v>
      </c>
      <c r="AG39" s="126"/>
    </row>
    <row r="40" spans="1:33" ht="15" thickBot="1" x14ac:dyDescent="0.4">
      <c r="A40" s="308"/>
      <c r="B40" s="319"/>
      <c r="C40" s="293"/>
      <c r="D40" s="293"/>
      <c r="E40" s="293"/>
      <c r="F40" s="293"/>
      <c r="G40" s="297"/>
      <c r="H40" s="8"/>
      <c r="I40" s="124"/>
      <c r="J40" s="8"/>
      <c r="K40" s="8"/>
      <c r="L40" s="8"/>
      <c r="M40" s="8"/>
      <c r="N40" s="8"/>
      <c r="O40" s="8"/>
      <c r="P40" s="8"/>
      <c r="Q40" s="8"/>
      <c r="R40" s="8"/>
      <c r="S40" s="8"/>
      <c r="T40" s="8"/>
      <c r="U40" s="8"/>
      <c r="V40" s="8"/>
      <c r="W40" s="8"/>
      <c r="X40" s="8"/>
      <c r="Y40" s="8"/>
      <c r="Z40" s="8"/>
      <c r="AA40" s="8"/>
      <c r="AB40" s="8"/>
      <c r="AC40" s="8"/>
      <c r="AD40" s="8"/>
      <c r="AE40" s="8"/>
      <c r="AF40" s="8"/>
      <c r="AG40" s="126"/>
    </row>
    <row r="41" spans="1:33" x14ac:dyDescent="0.35">
      <c r="A41" s="314" t="s">
        <v>133</v>
      </c>
      <c r="B41" s="278" t="s">
        <v>28</v>
      </c>
      <c r="C41" s="278" t="s">
        <v>150</v>
      </c>
      <c r="D41" s="278" t="s">
        <v>65</v>
      </c>
      <c r="E41" s="278" t="s">
        <v>150</v>
      </c>
      <c r="F41" s="279" t="s">
        <v>30</v>
      </c>
      <c r="G41" s="280" t="s">
        <v>150</v>
      </c>
      <c r="H41" s="8"/>
      <c r="I41" s="124"/>
      <c r="J41" s="9" t="s">
        <v>1262</v>
      </c>
      <c r="K41" s="9"/>
      <c r="L41" s="9"/>
      <c r="M41" s="9"/>
      <c r="N41" s="9"/>
      <c r="O41" s="9"/>
      <c r="P41" s="8"/>
      <c r="Q41" s="9"/>
      <c r="R41" s="9"/>
      <c r="S41" s="8"/>
      <c r="T41" s="8"/>
      <c r="U41" s="8"/>
      <c r="V41" s="8"/>
      <c r="W41" s="8"/>
      <c r="X41" s="8"/>
      <c r="Y41" s="184"/>
      <c r="Z41" s="8"/>
      <c r="AA41" s="8"/>
      <c r="AB41" s="8"/>
      <c r="AC41" s="8"/>
      <c r="AD41" s="8"/>
      <c r="AE41" s="8"/>
      <c r="AF41" s="8"/>
      <c r="AG41" s="126"/>
    </row>
    <row r="42" spans="1:33" x14ac:dyDescent="0.35">
      <c r="A42" s="322"/>
      <c r="B42" s="73"/>
      <c r="C42" s="73"/>
      <c r="D42" s="73"/>
      <c r="E42" s="73"/>
      <c r="F42" s="74"/>
      <c r="G42" s="283"/>
      <c r="H42" s="8"/>
      <c r="I42" s="190"/>
      <c r="J42" s="8"/>
      <c r="K42" s="191"/>
      <c r="L42" s="8"/>
      <c r="M42" s="8"/>
      <c r="N42" s="8"/>
      <c r="O42" s="8"/>
      <c r="P42" s="9"/>
      <c r="Q42" s="8"/>
      <c r="R42" s="192"/>
      <c r="S42" s="8"/>
      <c r="T42" s="8"/>
      <c r="U42" s="8"/>
      <c r="V42" s="8"/>
      <c r="W42" s="8"/>
      <c r="X42" s="8"/>
      <c r="Y42" s="8"/>
      <c r="Z42" s="8"/>
      <c r="AA42" s="8"/>
      <c r="AB42" s="8"/>
      <c r="AC42" s="8"/>
      <c r="AD42" s="8"/>
      <c r="AE42" s="8"/>
      <c r="AF42" s="8"/>
      <c r="AG42" s="126"/>
    </row>
    <row r="43" spans="1:33" x14ac:dyDescent="0.35">
      <c r="A43" s="323" t="s">
        <v>375</v>
      </c>
      <c r="B43" s="221">
        <v>1</v>
      </c>
      <c r="C43" s="11" t="s">
        <v>152</v>
      </c>
      <c r="D43" s="220"/>
      <c r="E43" s="11"/>
      <c r="F43" s="114">
        <f>B43</f>
        <v>1</v>
      </c>
      <c r="G43" s="303" t="s">
        <v>152</v>
      </c>
      <c r="H43" s="224"/>
      <c r="I43" s="124"/>
      <c r="J43" s="8"/>
      <c r="K43" s="8"/>
      <c r="L43" s="8"/>
      <c r="M43" s="8"/>
      <c r="N43" s="8"/>
      <c r="O43" s="8"/>
      <c r="P43" s="8"/>
      <c r="Q43" s="8"/>
      <c r="R43" s="192"/>
      <c r="S43" s="8"/>
      <c r="T43" s="8"/>
      <c r="U43" s="8"/>
      <c r="V43" s="8"/>
      <c r="W43" s="8"/>
      <c r="X43" s="8"/>
      <c r="Y43" s="8"/>
      <c r="Z43" s="8"/>
      <c r="AA43" s="8"/>
      <c r="AB43" s="8"/>
      <c r="AC43" s="8"/>
      <c r="AD43" s="8"/>
      <c r="AE43" s="8"/>
      <c r="AF43" s="8"/>
      <c r="AG43" s="126"/>
    </row>
    <row r="44" spans="1:33" ht="15" thickBot="1" x14ac:dyDescent="0.4">
      <c r="A44" s="324" t="s">
        <v>1257</v>
      </c>
      <c r="B44" s="285">
        <v>1</v>
      </c>
      <c r="C44" s="306" t="s">
        <v>152</v>
      </c>
      <c r="D44" s="317"/>
      <c r="E44" s="306"/>
      <c r="F44" s="325">
        <f>B44</f>
        <v>1</v>
      </c>
      <c r="G44" s="290" t="s">
        <v>152</v>
      </c>
      <c r="H44" s="224"/>
      <c r="I44" s="124"/>
      <c r="J44" s="8"/>
      <c r="K44" s="8"/>
      <c r="L44" s="8"/>
      <c r="M44" s="8"/>
      <c r="N44" s="8"/>
      <c r="O44" s="8"/>
      <c r="P44" s="8"/>
      <c r="Q44" s="8"/>
      <c r="R44" s="8"/>
      <c r="S44" s="8"/>
      <c r="T44" s="8" t="s">
        <v>467</v>
      </c>
      <c r="U44" s="8"/>
      <c r="V44" s="8"/>
      <c r="W44" s="8"/>
      <c r="X44" s="8"/>
      <c r="Y44" s="8"/>
      <c r="Z44" s="8"/>
      <c r="AA44" s="8"/>
      <c r="AB44" s="8"/>
      <c r="AC44" s="8"/>
      <c r="AD44" s="8"/>
      <c r="AE44" s="8"/>
      <c r="AF44" s="8"/>
      <c r="AG44" s="126"/>
    </row>
    <row r="45" spans="1:33" ht="15" thickBot="1" x14ac:dyDescent="0.4">
      <c r="A45" s="320"/>
      <c r="B45" s="326"/>
      <c r="C45" s="310"/>
      <c r="D45" s="310"/>
      <c r="E45" s="293"/>
      <c r="F45" s="293"/>
      <c r="G45" s="297"/>
      <c r="H45" s="224"/>
      <c r="I45" s="127"/>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4"/>
    </row>
    <row r="46" spans="1:33" x14ac:dyDescent="0.35">
      <c r="A46" s="314" t="s">
        <v>130</v>
      </c>
      <c r="B46" s="278" t="s">
        <v>28</v>
      </c>
      <c r="C46" s="278" t="s">
        <v>150</v>
      </c>
      <c r="D46" s="278" t="s">
        <v>65</v>
      </c>
      <c r="E46" s="278" t="s">
        <v>150</v>
      </c>
      <c r="F46" s="279" t="s">
        <v>30</v>
      </c>
      <c r="G46" s="280" t="s">
        <v>150</v>
      </c>
      <c r="H46" s="224"/>
      <c r="I46" s="218"/>
      <c r="J46" s="218"/>
      <c r="K46" s="218"/>
      <c r="L46" s="218"/>
      <c r="M46" s="218"/>
      <c r="N46" s="218"/>
    </row>
    <row r="47" spans="1:33" x14ac:dyDescent="0.35">
      <c r="A47" s="328"/>
      <c r="B47" s="73"/>
      <c r="C47" s="73"/>
      <c r="D47" s="73"/>
      <c r="E47" s="73"/>
      <c r="F47" s="74"/>
      <c r="G47" s="283"/>
      <c r="H47" s="224"/>
      <c r="I47" s="218"/>
      <c r="J47" s="218"/>
      <c r="K47" s="218"/>
      <c r="L47" s="218"/>
      <c r="M47" s="218"/>
      <c r="N47" s="218"/>
      <c r="O47" s="218"/>
    </row>
    <row r="48" spans="1:33" x14ac:dyDescent="0.35">
      <c r="A48" s="116" t="s">
        <v>1258</v>
      </c>
      <c r="B48" s="221">
        <v>2.1800000000000002</v>
      </c>
      <c r="C48" s="11" t="s">
        <v>373</v>
      </c>
      <c r="D48" s="31"/>
      <c r="E48" s="11"/>
      <c r="F48" s="114">
        <f>B48</f>
        <v>2.1800000000000002</v>
      </c>
      <c r="G48" s="303" t="s">
        <v>373</v>
      </c>
      <c r="H48" s="224"/>
      <c r="L48" s="219"/>
      <c r="M48" s="218"/>
      <c r="N48" s="218"/>
      <c r="O48" s="218"/>
    </row>
    <row r="49" spans="1:39" ht="29" x14ac:dyDescent="0.35">
      <c r="A49" s="116"/>
      <c r="B49" s="221"/>
      <c r="C49" s="11"/>
      <c r="D49" s="220">
        <v>0</v>
      </c>
      <c r="E49" s="11" t="s">
        <v>616</v>
      </c>
      <c r="F49" s="113">
        <f>D49</f>
        <v>0</v>
      </c>
      <c r="G49" s="303" t="s">
        <v>616</v>
      </c>
      <c r="H49" s="224"/>
      <c r="L49" s="218"/>
      <c r="M49" s="218"/>
      <c r="N49" s="218"/>
      <c r="O49" s="218"/>
    </row>
    <row r="50" spans="1:39" ht="43.5" x14ac:dyDescent="0.35">
      <c r="A50" s="116"/>
      <c r="B50" s="5"/>
      <c r="C50" s="11"/>
      <c r="D50" s="220">
        <v>15</v>
      </c>
      <c r="E50" s="11" t="s">
        <v>617</v>
      </c>
      <c r="F50" s="113">
        <f>D50</f>
        <v>15</v>
      </c>
      <c r="G50" s="303" t="s">
        <v>617</v>
      </c>
      <c r="H50" s="224"/>
      <c r="I50" s="218"/>
      <c r="J50" s="218"/>
      <c r="K50" s="218"/>
      <c r="L50" s="218"/>
      <c r="M50" s="218"/>
      <c r="N50" s="218"/>
      <c r="O50" s="219"/>
      <c r="P50" s="12"/>
      <c r="Q50" s="12"/>
      <c r="R50" s="12"/>
      <c r="S50" s="12"/>
      <c r="T50" s="12"/>
      <c r="U50" s="12"/>
      <c r="V50" s="12"/>
      <c r="W50" s="12"/>
      <c r="X50" s="12"/>
      <c r="Y50" s="12"/>
      <c r="Z50" s="12"/>
      <c r="AA50" s="12"/>
      <c r="AB50" s="12"/>
      <c r="AC50" s="12"/>
      <c r="AD50" s="12"/>
      <c r="AE50" s="12"/>
      <c r="AF50" s="12"/>
      <c r="AG50" s="12"/>
      <c r="AH50" s="12"/>
      <c r="AI50" s="12"/>
      <c r="AJ50" s="12"/>
      <c r="AK50" s="12"/>
      <c r="AL50" s="12"/>
    </row>
    <row r="51" spans="1:39" x14ac:dyDescent="0.35">
      <c r="A51" s="116" t="s">
        <v>1259</v>
      </c>
      <c r="B51" s="221">
        <v>2.1800000000000002</v>
      </c>
      <c r="C51" s="11" t="s">
        <v>373</v>
      </c>
      <c r="D51" s="31"/>
      <c r="E51" s="11"/>
      <c r="F51" s="114">
        <f t="shared" ref="F51:F57" si="9">B51</f>
        <v>2.1800000000000002</v>
      </c>
      <c r="G51" s="303" t="s">
        <v>373</v>
      </c>
      <c r="H51" s="224"/>
      <c r="I51" s="218"/>
      <c r="J51" s="218"/>
      <c r="K51" s="218"/>
      <c r="L51" s="218"/>
      <c r="M51" s="218"/>
      <c r="N51" s="218"/>
      <c r="O51" s="218"/>
    </row>
    <row r="52" spans="1:39" ht="29" x14ac:dyDescent="0.35">
      <c r="A52" s="329"/>
      <c r="B52" s="221"/>
      <c r="C52" s="11"/>
      <c r="D52" s="220">
        <v>0</v>
      </c>
      <c r="E52" s="11" t="s">
        <v>616</v>
      </c>
      <c r="F52" s="113">
        <f>D52</f>
        <v>0</v>
      </c>
      <c r="G52" s="303" t="s">
        <v>616</v>
      </c>
      <c r="H52" s="224"/>
      <c r="I52" s="219"/>
      <c r="J52" s="219"/>
      <c r="K52" s="219"/>
      <c r="L52" s="219"/>
      <c r="M52" s="219"/>
      <c r="N52" s="219"/>
      <c r="O52" s="218"/>
    </row>
    <row r="53" spans="1:39" ht="43.5" x14ac:dyDescent="0.35">
      <c r="A53" s="329"/>
      <c r="B53" s="5"/>
      <c r="C53" s="11"/>
      <c r="D53" s="220">
        <v>15</v>
      </c>
      <c r="E53" s="11" t="s">
        <v>617</v>
      </c>
      <c r="F53" s="113">
        <f>D53</f>
        <v>15</v>
      </c>
      <c r="G53" s="303" t="s">
        <v>617</v>
      </c>
      <c r="H53" s="224"/>
      <c r="L53" s="218"/>
      <c r="M53" s="218"/>
      <c r="N53" s="218"/>
      <c r="O53" s="218"/>
    </row>
    <row r="54" spans="1:39" x14ac:dyDescent="0.35">
      <c r="A54" s="330" t="s">
        <v>1260</v>
      </c>
      <c r="B54" s="221">
        <v>2.1800000000000002</v>
      </c>
      <c r="C54" s="11" t="s">
        <v>373</v>
      </c>
      <c r="D54" s="31"/>
      <c r="E54" s="11"/>
      <c r="F54" s="114">
        <f t="shared" si="9"/>
        <v>2.1800000000000002</v>
      </c>
      <c r="G54" s="303" t="s">
        <v>373</v>
      </c>
      <c r="H54" s="217"/>
      <c r="O54" s="218"/>
      <c r="AM54" s="12"/>
    </row>
    <row r="55" spans="1:39" ht="29" x14ac:dyDescent="0.35">
      <c r="A55" s="329"/>
      <c r="B55" s="221"/>
      <c r="C55" s="11"/>
      <c r="D55" s="220">
        <v>5</v>
      </c>
      <c r="E55" s="11" t="s">
        <v>616</v>
      </c>
      <c r="F55" s="113">
        <f>D55</f>
        <v>5</v>
      </c>
      <c r="G55" s="303" t="s">
        <v>616</v>
      </c>
      <c r="H55" s="9"/>
      <c r="O55" s="218"/>
    </row>
    <row r="56" spans="1:39" ht="43.5" x14ac:dyDescent="0.35">
      <c r="A56" s="329"/>
      <c r="B56" s="5"/>
      <c r="C56" s="11"/>
      <c r="D56" s="220">
        <v>15</v>
      </c>
      <c r="E56" s="11" t="s">
        <v>617</v>
      </c>
      <c r="F56" s="113">
        <f>D56</f>
        <v>15</v>
      </c>
      <c r="G56" s="303" t="s">
        <v>617</v>
      </c>
      <c r="H56" s="9"/>
    </row>
    <row r="57" spans="1:39" x14ac:dyDescent="0.35">
      <c r="A57" s="116" t="s">
        <v>1261</v>
      </c>
      <c r="B57" s="221">
        <v>2.1800000000000002</v>
      </c>
      <c r="C57" s="11" t="s">
        <v>373</v>
      </c>
      <c r="D57" s="31"/>
      <c r="E57" s="11"/>
      <c r="F57" s="114">
        <f t="shared" si="9"/>
        <v>2.1800000000000002</v>
      </c>
      <c r="G57" s="303" t="s">
        <v>373</v>
      </c>
      <c r="H57" s="8"/>
    </row>
    <row r="58" spans="1:39" ht="29" x14ac:dyDescent="0.35">
      <c r="A58" s="331"/>
      <c r="B58" s="221"/>
      <c r="C58" s="11"/>
      <c r="D58" s="220">
        <v>0</v>
      </c>
      <c r="E58" s="11" t="s">
        <v>616</v>
      </c>
      <c r="F58" s="113">
        <f>D58</f>
        <v>0</v>
      </c>
      <c r="G58" s="303" t="s">
        <v>616</v>
      </c>
      <c r="H58" s="8"/>
    </row>
    <row r="59" spans="1:39" ht="44" thickBot="1" x14ac:dyDescent="0.4">
      <c r="A59" s="332"/>
      <c r="B59" s="305"/>
      <c r="C59" s="306"/>
      <c r="D59" s="317">
        <v>15</v>
      </c>
      <c r="E59" s="306" t="s">
        <v>617</v>
      </c>
      <c r="F59" s="333">
        <f>D59</f>
        <v>15</v>
      </c>
      <c r="G59" s="290" t="s">
        <v>617</v>
      </c>
      <c r="H59" s="9"/>
    </row>
    <row r="60" spans="1:39" ht="15" thickBot="1" x14ac:dyDescent="0.4">
      <c r="A60" s="327"/>
      <c r="B60" s="319"/>
      <c r="C60" s="293"/>
      <c r="D60" s="293"/>
      <c r="E60" s="293"/>
      <c r="F60" s="293"/>
      <c r="G60" s="297"/>
      <c r="H60" s="9"/>
    </row>
    <row r="61" spans="1:39" x14ac:dyDescent="0.35">
      <c r="A61" s="314" t="s">
        <v>826</v>
      </c>
      <c r="B61" s="278" t="s">
        <v>28</v>
      </c>
      <c r="C61" s="278" t="s">
        <v>150</v>
      </c>
      <c r="D61" s="278" t="s">
        <v>65</v>
      </c>
      <c r="E61" s="278" t="s">
        <v>150</v>
      </c>
      <c r="F61" s="279" t="s">
        <v>30</v>
      </c>
      <c r="G61" s="280" t="s">
        <v>150</v>
      </c>
      <c r="H61" s="9"/>
    </row>
    <row r="62" spans="1:39" x14ac:dyDescent="0.35">
      <c r="A62" s="328"/>
      <c r="B62" s="73"/>
      <c r="C62" s="73"/>
      <c r="D62" s="73"/>
      <c r="E62" s="73"/>
      <c r="F62" s="74"/>
      <c r="G62" s="334"/>
      <c r="H62" s="103"/>
    </row>
    <row r="63" spans="1:39" x14ac:dyDescent="0.35">
      <c r="A63" s="281" t="s">
        <v>828</v>
      </c>
      <c r="B63" s="221">
        <v>45</v>
      </c>
      <c r="C63" s="11" t="s">
        <v>152</v>
      </c>
      <c r="D63" s="60"/>
      <c r="E63" s="11"/>
      <c r="F63" s="11"/>
      <c r="G63" s="283"/>
      <c r="H63" s="8"/>
    </row>
    <row r="64" spans="1:39" x14ac:dyDescent="0.35">
      <c r="A64" s="281" t="s">
        <v>831</v>
      </c>
      <c r="B64" s="5"/>
      <c r="C64" s="11"/>
      <c r="D64" s="220">
        <v>80</v>
      </c>
      <c r="E64" s="11" t="s">
        <v>151</v>
      </c>
      <c r="F64" s="112">
        <f>D64</f>
        <v>80</v>
      </c>
      <c r="G64" s="303" t="s">
        <v>151</v>
      </c>
    </row>
    <row r="65" spans="1:8" ht="15" thickBot="1" x14ac:dyDescent="0.4">
      <c r="A65" s="304" t="s">
        <v>827</v>
      </c>
      <c r="B65" s="335"/>
      <c r="C65" s="306"/>
      <c r="D65" s="336"/>
      <c r="E65" s="306"/>
      <c r="F65" s="325">
        <f>D64*B63</f>
        <v>3600</v>
      </c>
      <c r="G65" s="290" t="s">
        <v>149</v>
      </c>
      <c r="H65" s="8"/>
    </row>
    <row r="66" spans="1:8" ht="15" thickBot="1" x14ac:dyDescent="0.4">
      <c r="A66" s="308"/>
      <c r="B66" s="319"/>
      <c r="C66" s="293"/>
      <c r="D66" s="293"/>
      <c r="E66" s="293"/>
      <c r="F66" s="293"/>
      <c r="G66" s="297"/>
    </row>
    <row r="67" spans="1:8" x14ac:dyDescent="0.35">
      <c r="A67" s="277" t="s">
        <v>31</v>
      </c>
      <c r="B67" s="278" t="s">
        <v>28</v>
      </c>
      <c r="C67" s="278" t="s">
        <v>150</v>
      </c>
      <c r="D67" s="278" t="s">
        <v>65</v>
      </c>
      <c r="E67" s="337" t="s">
        <v>150</v>
      </c>
      <c r="F67" s="338" t="s">
        <v>30</v>
      </c>
      <c r="G67" s="280" t="s">
        <v>150</v>
      </c>
    </row>
    <row r="68" spans="1:8" x14ac:dyDescent="0.35">
      <c r="A68" s="339"/>
      <c r="B68" s="73"/>
      <c r="C68" s="73"/>
      <c r="D68" s="73"/>
      <c r="E68" s="81"/>
      <c r="F68" s="110"/>
      <c r="G68" s="334"/>
    </row>
    <row r="69" spans="1:8" ht="29" x14ac:dyDescent="0.35">
      <c r="A69" s="340" t="s">
        <v>390</v>
      </c>
      <c r="B69" s="234">
        <v>0.47</v>
      </c>
      <c r="C69" s="38" t="s">
        <v>44</v>
      </c>
      <c r="D69" s="230">
        <v>2000</v>
      </c>
      <c r="E69" s="108" t="s">
        <v>45</v>
      </c>
      <c r="F69" s="30">
        <f>D69*B69</f>
        <v>940</v>
      </c>
      <c r="G69" s="303" t="s">
        <v>631</v>
      </c>
    </row>
    <row r="70" spans="1:8" x14ac:dyDescent="0.35">
      <c r="A70" s="341" t="s">
        <v>42</v>
      </c>
      <c r="B70" s="234">
        <v>300</v>
      </c>
      <c r="C70" s="38" t="s">
        <v>10</v>
      </c>
      <c r="D70" s="230">
        <v>1</v>
      </c>
      <c r="E70" s="79" t="s">
        <v>117</v>
      </c>
      <c r="F70" s="30">
        <f>D70*B70</f>
        <v>300</v>
      </c>
      <c r="G70" s="342" t="s">
        <v>376</v>
      </c>
    </row>
    <row r="71" spans="1:8" x14ac:dyDescent="0.35">
      <c r="A71" s="341" t="s">
        <v>43</v>
      </c>
      <c r="B71" s="234">
        <v>100</v>
      </c>
      <c r="C71" s="38" t="s">
        <v>10</v>
      </c>
      <c r="D71" s="230">
        <v>1</v>
      </c>
      <c r="E71" s="79" t="s">
        <v>117</v>
      </c>
      <c r="F71" s="30">
        <f>D71*B71</f>
        <v>100</v>
      </c>
      <c r="G71" s="342" t="s">
        <v>376</v>
      </c>
    </row>
    <row r="72" spans="1:8" ht="15" thickBot="1" x14ac:dyDescent="0.4">
      <c r="A72" s="284" t="s">
        <v>47</v>
      </c>
      <c r="B72" s="343">
        <v>130</v>
      </c>
      <c r="C72" s="344" t="s">
        <v>10</v>
      </c>
      <c r="D72" s="287">
        <v>1</v>
      </c>
      <c r="E72" s="345" t="s">
        <v>117</v>
      </c>
      <c r="F72" s="289">
        <f>D72*B72</f>
        <v>130</v>
      </c>
      <c r="G72" s="346" t="s">
        <v>376</v>
      </c>
    </row>
    <row r="74" spans="1:8" x14ac:dyDescent="0.35">
      <c r="A74" s="246" t="s">
        <v>387</v>
      </c>
      <c r="B74" s="247"/>
      <c r="C74" s="248"/>
    </row>
    <row r="75" spans="1:8" x14ac:dyDescent="0.35">
      <c r="A75" s="2"/>
      <c r="B75" s="1"/>
      <c r="C75" s="65"/>
    </row>
    <row r="76" spans="1:8" x14ac:dyDescent="0.35">
      <c r="A76" s="2" t="s">
        <v>67</v>
      </c>
      <c r="B76" s="109">
        <v>600</v>
      </c>
      <c r="C76" s="65" t="s">
        <v>388</v>
      </c>
    </row>
    <row r="77" spans="1:8" x14ac:dyDescent="0.35">
      <c r="A77" s="2" t="s">
        <v>69</v>
      </c>
      <c r="B77" s="109">
        <v>300</v>
      </c>
      <c r="C77" s="65" t="s">
        <v>388</v>
      </c>
    </row>
    <row r="78" spans="1:8" x14ac:dyDescent="0.35">
      <c r="A78" s="2" t="s">
        <v>68</v>
      </c>
      <c r="B78" s="109">
        <v>100</v>
      </c>
      <c r="C78" s="65" t="s">
        <v>388</v>
      </c>
    </row>
    <row r="79" spans="1:8" x14ac:dyDescent="0.35">
      <c r="A79" s="2" t="s">
        <v>70</v>
      </c>
      <c r="B79" s="109">
        <v>80</v>
      </c>
      <c r="C79" s="65" t="s">
        <v>388</v>
      </c>
    </row>
    <row r="80" spans="1:8" x14ac:dyDescent="0.35">
      <c r="A80" s="2"/>
      <c r="B80" s="1"/>
      <c r="C80" s="65"/>
    </row>
    <row r="82" spans="1:1" x14ac:dyDescent="0.35">
      <c r="A82" s="24" t="s">
        <v>40</v>
      </c>
    </row>
    <row r="83" spans="1:1" ht="72.5" x14ac:dyDescent="0.35">
      <c r="A83" s="12" t="s">
        <v>881</v>
      </c>
    </row>
    <row r="85" spans="1:1" ht="87" x14ac:dyDescent="0.35">
      <c r="A85" s="12" t="s">
        <v>882</v>
      </c>
    </row>
    <row r="87" spans="1:1" ht="58" x14ac:dyDescent="0.35">
      <c r="A87" s="558" t="s">
        <v>1246</v>
      </c>
    </row>
    <row r="88" spans="1:1" x14ac:dyDescent="0.35">
      <c r="A88" s="558" t="s">
        <v>1247</v>
      </c>
    </row>
    <row r="89" spans="1:1" ht="43.5" x14ac:dyDescent="0.35">
      <c r="A89" s="558" t="s">
        <v>1248</v>
      </c>
    </row>
    <row r="90" spans="1:1" ht="72.5" x14ac:dyDescent="0.35">
      <c r="A90" s="558" t="s">
        <v>1249</v>
      </c>
    </row>
    <row r="91" spans="1:1" ht="43.5" x14ac:dyDescent="0.35">
      <c r="A91" s="558" t="s">
        <v>1250</v>
      </c>
    </row>
    <row r="92" spans="1:1" ht="58" x14ac:dyDescent="0.35">
      <c r="A92" s="558" t="s">
        <v>1251</v>
      </c>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Preface</vt:lpstr>
      <vt:lpstr>Scenario Notes</vt:lpstr>
      <vt:lpstr>Vaccination</vt:lpstr>
      <vt:lpstr>Depopulation</vt:lpstr>
      <vt:lpstr>Composting</vt:lpstr>
      <vt:lpstr>Rendering</vt:lpstr>
      <vt:lpstr>Off-site Incineration</vt:lpstr>
      <vt:lpstr>On-site Incineration</vt:lpstr>
      <vt:lpstr>Off-site Landfill Burial</vt:lpstr>
      <vt:lpstr>On-site Burial</vt:lpstr>
      <vt:lpstr>Mobile Treatment</vt:lpstr>
      <vt:lpstr>Facility Decon</vt:lpstr>
      <vt:lpstr>Sampling</vt:lpstr>
      <vt:lpstr>GIS_inputs</vt:lpstr>
      <vt:lpstr>Parameter References</vt:lpstr>
      <vt:lpstr>Summary Results</vt:lpstr>
      <vt:lpstr>Charts</vt:lpstr>
    </vt:vector>
  </TitlesOfParts>
  <Company>Sandia National Laboratories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Knowlton, Robert G</dc:creator>
  <cp:lastModifiedBy>Miller, Lori P - APHIS</cp:lastModifiedBy>
  <cp:lastPrinted>2013-02-04T20:11:28Z</cp:lastPrinted>
  <dcterms:created xsi:type="dcterms:W3CDTF">2012-12-03T18:53:52Z</dcterms:created>
  <dcterms:modified xsi:type="dcterms:W3CDTF">2018-05-31T18:41:52Z</dcterms:modified>
</cp:coreProperties>
</file>